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avyr\Desktop\"/>
    </mc:Choice>
  </mc:AlternateContent>
  <xr:revisionPtr revIDLastSave="0" documentId="8_{0B74AE5D-0B13-4514-A8EE-C724F5EE0130}" xr6:coauthVersionLast="47" xr6:coauthVersionMax="47" xr10:uidLastSave="{00000000-0000-0000-0000-000000000000}"/>
  <bookViews>
    <workbookView xWindow="-108" yWindow="-108" windowWidth="23256" windowHeight="13896" tabRatio="694" firstSheet="1" activeTab="2" xr2:uid="{00000000-000D-0000-FFFF-FFFF00000000}"/>
  </bookViews>
  <sheets>
    <sheet name="Нормативное время доставки" sheetId="5" r:id="rId1"/>
    <sheet name="Юнит-экономика ОСНОВНАЯ" sheetId="1" r:id="rId2"/>
    <sheet name="Юнит-экономика НЕДОРОГИЕ ТОВАРЫ" sheetId="7" r:id="rId3"/>
    <sheet name="примерный выкуп по категориям" sheetId="3" r:id="rId4"/>
    <sheet name="Справка" sheetId="2" r:id="rId5"/>
  </sheets>
  <externalReferences>
    <externalReference r:id="rId6"/>
  </externalReferences>
  <definedNames>
    <definedName name="f0dc96c6222a403080c007be8425481a0" comment="8​​9‌3​d​a​e​c‍8​b​7‌1​a‌4‌1​1‍f​a​1​b​8‌5‌1​9‍2​4​6‌f​0​5​7‍4​9​f​3​d‌a‌5​e‍5​1​b‌f‌b​4​4​5‍3​4​b‌a‌4‌8​a‌6‍3​1​9‌7‌d‌f​0​b‍0​7​b‌9‌d​0​4‌3‍a​c​d‌2​1​c​4‍8​2​f​b‌9‌c‌4‍6​6​a‌2​2​0​b​4‍2​2​7‌e‌0‌1​3‌1‍6​9​8‌b​b‌4​2​5‍4​0​4​c‌9‌4​5‌b‍e​6​a‌4‌5​5‌b‌d‍6" hidden="1">[1]Sheet1!$A$1</definedName>
    <definedName name="f0dc96c6222a403080c007be8425481a1" comment="​e​3​‌‌​‌‍​​‌‌​​‍​​​‌​‌​‍​​‌‌​​‌‍​​​​‌‌‌‍​​‌‌​‌‌‍​​‌‌‌‌​‍​​​‌‌‌‌‍​​​‌​​​‍​​‌‌​‌​7" hidden="1">[1]Sheet1!$A$1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L3" i="1" s="1"/>
  <c r="M3" i="1" s="1"/>
  <c r="P3" i="1"/>
  <c r="Q3" i="1"/>
  <c r="R3" i="1"/>
  <c r="T3" i="1" s="1"/>
  <c r="V3" i="1"/>
  <c r="W3" i="1"/>
  <c r="AH3" i="1"/>
  <c r="AM3" i="1"/>
  <c r="H4" i="1"/>
  <c r="I4" i="1" s="1"/>
  <c r="L4" i="1" s="1"/>
  <c r="M4" i="1" s="1"/>
  <c r="P4" i="1"/>
  <c r="Q4" i="1"/>
  <c r="R4" i="1"/>
  <c r="T4" i="1"/>
  <c r="AC4" i="1" s="1"/>
  <c r="V4" i="1"/>
  <c r="X4" i="1" s="1"/>
  <c r="AA4" i="1" s="1"/>
  <c r="AE4" i="1" s="1"/>
  <c r="W4" i="1"/>
  <c r="AH4" i="1"/>
  <c r="AM4" i="1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K12" i="2"/>
  <c r="AH11" i="2"/>
  <c r="K11" i="2"/>
  <c r="AH10" i="2"/>
  <c r="K10" i="2"/>
  <c r="AH9" i="2"/>
  <c r="K9" i="2"/>
  <c r="AH8" i="2"/>
  <c r="K8" i="2"/>
  <c r="AH7" i="2"/>
  <c r="K7" i="2"/>
  <c r="AH6" i="2"/>
  <c r="K6" i="2"/>
  <c r="AH5" i="2"/>
  <c r="K5" i="2"/>
  <c r="K4" i="2"/>
  <c r="K3" i="2"/>
  <c r="AM23" i="1"/>
  <c r="AH23" i="1"/>
  <c r="W23" i="1"/>
  <c r="V23" i="1"/>
  <c r="R23" i="1"/>
  <c r="T23" i="1" s="1"/>
  <c r="AC23" i="1" s="1"/>
  <c r="Q23" i="1"/>
  <c r="P23" i="1"/>
  <c r="H23" i="1"/>
  <c r="I23" i="1" s="1"/>
  <c r="L23" i="1" s="1"/>
  <c r="M23" i="1" s="1"/>
  <c r="AM22" i="1"/>
  <c r="AH22" i="1"/>
  <c r="W22" i="1"/>
  <c r="V22" i="1"/>
  <c r="R22" i="1"/>
  <c r="T22" i="1" s="1"/>
  <c r="AC22" i="1" s="1"/>
  <c r="Q22" i="1"/>
  <c r="P22" i="1"/>
  <c r="H22" i="1"/>
  <c r="I22" i="1" s="1"/>
  <c r="L22" i="1" s="1"/>
  <c r="M22" i="1" s="1"/>
  <c r="AM21" i="1"/>
  <c r="AH21" i="1"/>
  <c r="W21" i="1"/>
  <c r="V21" i="1"/>
  <c r="R21" i="1"/>
  <c r="T21" i="1" s="1"/>
  <c r="AC21" i="1" s="1"/>
  <c r="Q21" i="1"/>
  <c r="P21" i="1"/>
  <c r="H21" i="1"/>
  <c r="I21" i="1" s="1"/>
  <c r="L21" i="1" s="1"/>
  <c r="M21" i="1" s="1"/>
  <c r="AM20" i="1"/>
  <c r="AH20" i="1"/>
  <c r="W20" i="1"/>
  <c r="V20" i="1"/>
  <c r="R20" i="1"/>
  <c r="T20" i="1" s="1"/>
  <c r="Q20" i="1"/>
  <c r="P20" i="1"/>
  <c r="H20" i="1"/>
  <c r="I20" i="1" s="1"/>
  <c r="L20" i="1" s="1"/>
  <c r="M20" i="1" s="1"/>
  <c r="AM19" i="1"/>
  <c r="AH19" i="1"/>
  <c r="W19" i="1"/>
  <c r="V19" i="1"/>
  <c r="R19" i="1"/>
  <c r="T19" i="1" s="1"/>
  <c r="AC19" i="1" s="1"/>
  <c r="Q19" i="1"/>
  <c r="P19" i="1"/>
  <c r="I19" i="1"/>
  <c r="L19" i="1" s="1"/>
  <c r="M19" i="1" s="1"/>
  <c r="H19" i="1"/>
  <c r="AM18" i="1"/>
  <c r="AH18" i="1"/>
  <c r="W18" i="1"/>
  <c r="V18" i="1"/>
  <c r="R18" i="1"/>
  <c r="T18" i="1" s="1"/>
  <c r="AC18" i="1" s="1"/>
  <c r="Q18" i="1"/>
  <c r="P18" i="1"/>
  <c r="H18" i="1"/>
  <c r="I18" i="1" s="1"/>
  <c r="L18" i="1" s="1"/>
  <c r="M18" i="1" s="1"/>
  <c r="AM17" i="1"/>
  <c r="AH17" i="1"/>
  <c r="W17" i="1"/>
  <c r="V17" i="1"/>
  <c r="X17" i="1" s="1"/>
  <c r="AA17" i="1" s="1"/>
  <c r="AE17" i="1" s="1"/>
  <c r="R17" i="1"/>
  <c r="T17" i="1" s="1"/>
  <c r="AC17" i="1" s="1"/>
  <c r="Q17" i="1"/>
  <c r="P17" i="1"/>
  <c r="H17" i="1"/>
  <c r="I17" i="1" s="1"/>
  <c r="L17" i="1" s="1"/>
  <c r="M17" i="1" s="1"/>
  <c r="AM16" i="1"/>
  <c r="AH16" i="1"/>
  <c r="W16" i="1"/>
  <c r="V16" i="1"/>
  <c r="X16" i="1" s="1"/>
  <c r="AA16" i="1" s="1"/>
  <c r="AE16" i="1" s="1"/>
  <c r="R16" i="1"/>
  <c r="T16" i="1" s="1"/>
  <c r="AC16" i="1" s="1"/>
  <c r="Q16" i="1"/>
  <c r="P16" i="1"/>
  <c r="H16" i="1"/>
  <c r="I16" i="1" s="1"/>
  <c r="L16" i="1" s="1"/>
  <c r="M16" i="1" s="1"/>
  <c r="AM15" i="1"/>
  <c r="AH15" i="1"/>
  <c r="W15" i="1"/>
  <c r="V15" i="1"/>
  <c r="R15" i="1"/>
  <c r="T15" i="1" s="1"/>
  <c r="AC15" i="1" s="1"/>
  <c r="Q15" i="1"/>
  <c r="P15" i="1"/>
  <c r="H15" i="1"/>
  <c r="I15" i="1" s="1"/>
  <c r="L15" i="1" s="1"/>
  <c r="M15" i="1" s="1"/>
  <c r="AM14" i="1"/>
  <c r="AH14" i="1"/>
  <c r="W14" i="1"/>
  <c r="V14" i="1"/>
  <c r="X14" i="1" s="1"/>
  <c r="AA14" i="1" s="1"/>
  <c r="AE14" i="1" s="1"/>
  <c r="R14" i="1"/>
  <c r="T14" i="1" s="1"/>
  <c r="AC14" i="1" s="1"/>
  <c r="Q14" i="1"/>
  <c r="P14" i="1"/>
  <c r="I14" i="1"/>
  <c r="L14" i="1" s="1"/>
  <c r="M14" i="1" s="1"/>
  <c r="H14" i="1"/>
  <c r="AM13" i="1"/>
  <c r="AH13" i="1"/>
  <c r="W13" i="1"/>
  <c r="V13" i="1"/>
  <c r="X13" i="1" s="1"/>
  <c r="AA13" i="1" s="1"/>
  <c r="AE13" i="1" s="1"/>
  <c r="R13" i="1"/>
  <c r="T13" i="1" s="1"/>
  <c r="AC13" i="1" s="1"/>
  <c r="Q13" i="1"/>
  <c r="P13" i="1"/>
  <c r="H13" i="1"/>
  <c r="I13" i="1" s="1"/>
  <c r="L13" i="1" s="1"/>
  <c r="M13" i="1" s="1"/>
  <c r="AM12" i="1"/>
  <c r="AH12" i="1"/>
  <c r="W12" i="1"/>
  <c r="V12" i="1"/>
  <c r="X12" i="1" s="1"/>
  <c r="AA12" i="1" s="1"/>
  <c r="AE12" i="1" s="1"/>
  <c r="R12" i="1"/>
  <c r="T12" i="1" s="1"/>
  <c r="AC12" i="1" s="1"/>
  <c r="Q12" i="1"/>
  <c r="P12" i="1"/>
  <c r="H12" i="1"/>
  <c r="I12" i="1" s="1"/>
  <c r="L12" i="1" s="1"/>
  <c r="M12" i="1" s="1"/>
  <c r="AM11" i="1"/>
  <c r="AH11" i="1"/>
  <c r="W11" i="1"/>
  <c r="V11" i="1"/>
  <c r="X11" i="1" s="1"/>
  <c r="AA11" i="1" s="1"/>
  <c r="AE11" i="1" s="1"/>
  <c r="R11" i="1"/>
  <c r="T11" i="1" s="1"/>
  <c r="AC11" i="1" s="1"/>
  <c r="Q11" i="1"/>
  <c r="P11" i="1"/>
  <c r="H11" i="1"/>
  <c r="I11" i="1" s="1"/>
  <c r="L11" i="1" s="1"/>
  <c r="M11" i="1" s="1"/>
  <c r="AM10" i="1"/>
  <c r="AH10" i="1"/>
  <c r="W10" i="1"/>
  <c r="V10" i="1"/>
  <c r="X10" i="1" s="1"/>
  <c r="AA10" i="1" s="1"/>
  <c r="AE10" i="1" s="1"/>
  <c r="R10" i="1"/>
  <c r="T10" i="1" s="1"/>
  <c r="AC10" i="1" s="1"/>
  <c r="Q10" i="1"/>
  <c r="P10" i="1"/>
  <c r="H10" i="1"/>
  <c r="I10" i="1" s="1"/>
  <c r="L10" i="1" s="1"/>
  <c r="M10" i="1" s="1"/>
  <c r="AM9" i="1"/>
  <c r="AH9" i="1"/>
  <c r="W9" i="1"/>
  <c r="V9" i="1"/>
  <c r="X9" i="1" s="1"/>
  <c r="AA9" i="1" s="1"/>
  <c r="AE9" i="1" s="1"/>
  <c r="R9" i="1"/>
  <c r="T9" i="1" s="1"/>
  <c r="AC9" i="1" s="1"/>
  <c r="Q9" i="1"/>
  <c r="P9" i="1"/>
  <c r="I9" i="1"/>
  <c r="L9" i="1" s="1"/>
  <c r="M9" i="1" s="1"/>
  <c r="H9" i="1"/>
  <c r="AM8" i="1"/>
  <c r="AH8" i="1"/>
  <c r="W8" i="1"/>
  <c r="V8" i="1"/>
  <c r="R8" i="1"/>
  <c r="T8" i="1" s="1"/>
  <c r="AC8" i="1" s="1"/>
  <c r="Q8" i="1"/>
  <c r="P8" i="1"/>
  <c r="H8" i="1"/>
  <c r="I8" i="1" s="1"/>
  <c r="L8" i="1" s="1"/>
  <c r="M8" i="1" s="1"/>
  <c r="AM7" i="1"/>
  <c r="AH7" i="1"/>
  <c r="W7" i="1"/>
  <c r="V7" i="1"/>
  <c r="R7" i="1"/>
  <c r="T7" i="1" s="1"/>
  <c r="AC7" i="1" s="1"/>
  <c r="Q7" i="1"/>
  <c r="P7" i="1"/>
  <c r="H7" i="1"/>
  <c r="I7" i="1" s="1"/>
  <c r="L7" i="1" s="1"/>
  <c r="M7" i="1" s="1"/>
  <c r="AM6" i="1"/>
  <c r="AH6" i="1"/>
  <c r="W6" i="1"/>
  <c r="V6" i="1"/>
  <c r="R6" i="1"/>
  <c r="T6" i="1" s="1"/>
  <c r="AC6" i="1" s="1"/>
  <c r="Q6" i="1"/>
  <c r="P6" i="1"/>
  <c r="H6" i="1"/>
  <c r="I6" i="1" s="1"/>
  <c r="L6" i="1" s="1"/>
  <c r="M6" i="1" s="1"/>
  <c r="AM5" i="1"/>
  <c r="AH5" i="1"/>
  <c r="W5" i="1"/>
  <c r="V5" i="1"/>
  <c r="R5" i="1"/>
  <c r="T5" i="1" s="1"/>
  <c r="AC5" i="1" s="1"/>
  <c r="Q5" i="1"/>
  <c r="P5" i="1"/>
  <c r="H5" i="1"/>
  <c r="I5" i="1" s="1"/>
  <c r="L5" i="1" s="1"/>
  <c r="M5" i="1" s="1"/>
  <c r="AN29" i="7"/>
  <c r="AI29" i="7"/>
  <c r="AD29" i="7"/>
  <c r="X29" i="7"/>
  <c r="W29" i="7"/>
  <c r="Y29" i="7" s="1"/>
  <c r="AB29" i="7" s="1"/>
  <c r="AF29" i="7" s="1"/>
  <c r="U29" i="7"/>
  <c r="R29" i="7"/>
  <c r="Q29" i="7"/>
  <c r="P29" i="7"/>
  <c r="O29" i="7"/>
  <c r="I29" i="7"/>
  <c r="L29" i="7" s="1"/>
  <c r="M29" i="7" s="1"/>
  <c r="H29" i="7"/>
  <c r="AN28" i="7"/>
  <c r="AI28" i="7"/>
  <c r="X28" i="7"/>
  <c r="W28" i="7"/>
  <c r="U28" i="7"/>
  <c r="AD28" i="7" s="1"/>
  <c r="R28" i="7"/>
  <c r="Q28" i="7"/>
  <c r="O28" i="7"/>
  <c r="P28" i="7" s="1"/>
  <c r="H28" i="7"/>
  <c r="I28" i="7" s="1"/>
  <c r="L28" i="7" s="1"/>
  <c r="M28" i="7" s="1"/>
  <c r="AN27" i="7"/>
  <c r="AI27" i="7"/>
  <c r="X27" i="7"/>
  <c r="W27" i="7"/>
  <c r="U27" i="7"/>
  <c r="AD27" i="7" s="1"/>
  <c r="R27" i="7"/>
  <c r="Q27" i="7"/>
  <c r="O27" i="7"/>
  <c r="P27" i="7" s="1"/>
  <c r="H27" i="7"/>
  <c r="I27" i="7" s="1"/>
  <c r="L27" i="7" s="1"/>
  <c r="M27" i="7" s="1"/>
  <c r="AN26" i="7"/>
  <c r="AI26" i="7"/>
  <c r="X26" i="7"/>
  <c r="W26" i="7"/>
  <c r="Y26" i="7" s="1"/>
  <c r="AB26" i="7" s="1"/>
  <c r="AF26" i="7" s="1"/>
  <c r="AG26" i="7" s="1"/>
  <c r="U26" i="7"/>
  <c r="AD26" i="7" s="1"/>
  <c r="R26" i="7"/>
  <c r="Q26" i="7"/>
  <c r="P26" i="7"/>
  <c r="O26" i="7"/>
  <c r="H26" i="7"/>
  <c r="I26" i="7" s="1"/>
  <c r="L26" i="7" s="1"/>
  <c r="M26" i="7" s="1"/>
  <c r="AN25" i="7"/>
  <c r="AI25" i="7"/>
  <c r="AD25" i="7"/>
  <c r="X25" i="7"/>
  <c r="W25" i="7"/>
  <c r="Y25" i="7" s="1"/>
  <c r="AB25" i="7" s="1"/>
  <c r="AF25" i="7" s="1"/>
  <c r="U25" i="7"/>
  <c r="R25" i="7"/>
  <c r="Q25" i="7"/>
  <c r="P25" i="7"/>
  <c r="O25" i="7"/>
  <c r="I25" i="7"/>
  <c r="L25" i="7" s="1"/>
  <c r="M25" i="7" s="1"/>
  <c r="H25" i="7"/>
  <c r="AN24" i="7"/>
  <c r="AI24" i="7"/>
  <c r="X24" i="7"/>
  <c r="W24" i="7"/>
  <c r="U24" i="7"/>
  <c r="AD24" i="7" s="1"/>
  <c r="R24" i="7"/>
  <c r="Q24" i="7"/>
  <c r="O24" i="7"/>
  <c r="P24" i="7" s="1"/>
  <c r="H24" i="7"/>
  <c r="I24" i="7" s="1"/>
  <c r="L24" i="7" s="1"/>
  <c r="M24" i="7" s="1"/>
  <c r="AN23" i="7"/>
  <c r="AI23" i="7"/>
  <c r="X23" i="7"/>
  <c r="W23" i="7"/>
  <c r="U23" i="7"/>
  <c r="AD23" i="7" s="1"/>
  <c r="R23" i="7"/>
  <c r="Q23" i="7"/>
  <c r="O23" i="7"/>
  <c r="P23" i="7" s="1"/>
  <c r="H23" i="7"/>
  <c r="I23" i="7" s="1"/>
  <c r="L23" i="7" s="1"/>
  <c r="M23" i="7" s="1"/>
  <c r="AN22" i="7"/>
  <c r="AI22" i="7"/>
  <c r="X22" i="7"/>
  <c r="W22" i="7"/>
  <c r="Y22" i="7" s="1"/>
  <c r="AB22" i="7" s="1"/>
  <c r="AF22" i="7" s="1"/>
  <c r="AG22" i="7" s="1"/>
  <c r="U22" i="7"/>
  <c r="AD22" i="7" s="1"/>
  <c r="R22" i="7"/>
  <c r="Q22" i="7"/>
  <c r="P22" i="7"/>
  <c r="O22" i="7"/>
  <c r="H22" i="7"/>
  <c r="I22" i="7" s="1"/>
  <c r="L22" i="7" s="1"/>
  <c r="M22" i="7" s="1"/>
  <c r="AN21" i="7"/>
  <c r="AI21" i="7"/>
  <c r="AD21" i="7"/>
  <c r="X21" i="7"/>
  <c r="W21" i="7"/>
  <c r="Y21" i="7" s="1"/>
  <c r="AB21" i="7" s="1"/>
  <c r="AF21" i="7" s="1"/>
  <c r="U21" i="7"/>
  <c r="R21" i="7"/>
  <c r="Q21" i="7"/>
  <c r="P21" i="7"/>
  <c r="O21" i="7"/>
  <c r="I21" i="7"/>
  <c r="L21" i="7" s="1"/>
  <c r="M21" i="7" s="1"/>
  <c r="H21" i="7"/>
  <c r="AN20" i="7"/>
  <c r="AI20" i="7"/>
  <c r="X20" i="7"/>
  <c r="W20" i="7"/>
  <c r="U20" i="7"/>
  <c r="AD20" i="7" s="1"/>
  <c r="R20" i="7"/>
  <c r="Q20" i="7"/>
  <c r="O20" i="7"/>
  <c r="P20" i="7" s="1"/>
  <c r="H20" i="7"/>
  <c r="I20" i="7" s="1"/>
  <c r="L20" i="7" s="1"/>
  <c r="M20" i="7" s="1"/>
  <c r="AN19" i="7"/>
  <c r="AI19" i="7"/>
  <c r="X19" i="7"/>
  <c r="W19" i="7"/>
  <c r="U19" i="7"/>
  <c r="AD19" i="7" s="1"/>
  <c r="R19" i="7"/>
  <c r="Q19" i="7"/>
  <c r="O19" i="7"/>
  <c r="P19" i="7" s="1"/>
  <c r="H19" i="7"/>
  <c r="I19" i="7" s="1"/>
  <c r="L19" i="7" s="1"/>
  <c r="M19" i="7" s="1"/>
  <c r="AN18" i="7"/>
  <c r="AI18" i="7"/>
  <c r="X18" i="7"/>
  <c r="W18" i="7"/>
  <c r="Y18" i="7" s="1"/>
  <c r="AB18" i="7" s="1"/>
  <c r="AF18" i="7" s="1"/>
  <c r="AG18" i="7" s="1"/>
  <c r="U18" i="7"/>
  <c r="AD18" i="7" s="1"/>
  <c r="R18" i="7"/>
  <c r="Q18" i="7"/>
  <c r="P18" i="7"/>
  <c r="O18" i="7"/>
  <c r="H18" i="7"/>
  <c r="I18" i="7" s="1"/>
  <c r="L18" i="7" s="1"/>
  <c r="M18" i="7" s="1"/>
  <c r="AN17" i="7"/>
  <c r="AI17" i="7"/>
  <c r="AD17" i="7"/>
  <c r="X17" i="7"/>
  <c r="W17" i="7"/>
  <c r="Y17" i="7" s="1"/>
  <c r="AB17" i="7" s="1"/>
  <c r="AF17" i="7" s="1"/>
  <c r="U17" i="7"/>
  <c r="R17" i="7"/>
  <c r="Q17" i="7"/>
  <c r="P17" i="7"/>
  <c r="O17" i="7"/>
  <c r="I17" i="7"/>
  <c r="L17" i="7" s="1"/>
  <c r="M17" i="7" s="1"/>
  <c r="H17" i="7"/>
  <c r="AN16" i="7"/>
  <c r="AI16" i="7"/>
  <c r="X16" i="7"/>
  <c r="W16" i="7"/>
  <c r="U16" i="7"/>
  <c r="AD16" i="7" s="1"/>
  <c r="R16" i="7"/>
  <c r="Q16" i="7"/>
  <c r="O16" i="7"/>
  <c r="P16" i="7" s="1"/>
  <c r="H16" i="7"/>
  <c r="I16" i="7" s="1"/>
  <c r="L16" i="7" s="1"/>
  <c r="M16" i="7" s="1"/>
  <c r="AN15" i="7"/>
  <c r="AI15" i="7"/>
  <c r="X15" i="7"/>
  <c r="W15" i="7"/>
  <c r="U15" i="7"/>
  <c r="AD15" i="7" s="1"/>
  <c r="R15" i="7"/>
  <c r="Q15" i="7"/>
  <c r="O15" i="7"/>
  <c r="P15" i="7" s="1"/>
  <c r="H15" i="7"/>
  <c r="I15" i="7" s="1"/>
  <c r="L15" i="7" s="1"/>
  <c r="M15" i="7" s="1"/>
  <c r="AN14" i="7"/>
  <c r="AI14" i="7"/>
  <c r="X14" i="7"/>
  <c r="W14" i="7"/>
  <c r="Y14" i="7" s="1"/>
  <c r="AB14" i="7" s="1"/>
  <c r="AF14" i="7" s="1"/>
  <c r="AG14" i="7" s="1"/>
  <c r="U14" i="7"/>
  <c r="AD14" i="7" s="1"/>
  <c r="R14" i="7"/>
  <c r="Q14" i="7"/>
  <c r="O14" i="7"/>
  <c r="P14" i="7" s="1"/>
  <c r="H14" i="7"/>
  <c r="I14" i="7" s="1"/>
  <c r="L14" i="7" s="1"/>
  <c r="M14" i="7" s="1"/>
  <c r="AN13" i="7"/>
  <c r="AI13" i="7"/>
  <c r="AD13" i="7"/>
  <c r="X13" i="7"/>
  <c r="W13" i="7"/>
  <c r="Y13" i="7" s="1"/>
  <c r="AB13" i="7" s="1"/>
  <c r="AF13" i="7" s="1"/>
  <c r="U13" i="7"/>
  <c r="R13" i="7"/>
  <c r="Q13" i="7"/>
  <c r="P13" i="7"/>
  <c r="O13" i="7"/>
  <c r="I13" i="7"/>
  <c r="L13" i="7" s="1"/>
  <c r="M13" i="7" s="1"/>
  <c r="H13" i="7"/>
  <c r="AN12" i="7"/>
  <c r="AI12" i="7"/>
  <c r="X12" i="7"/>
  <c r="W12" i="7"/>
  <c r="U12" i="7"/>
  <c r="AD12" i="7" s="1"/>
  <c r="R12" i="7"/>
  <c r="Q12" i="7"/>
  <c r="O12" i="7"/>
  <c r="P12" i="7" s="1"/>
  <c r="H12" i="7"/>
  <c r="I12" i="7" s="1"/>
  <c r="L12" i="7" s="1"/>
  <c r="M12" i="7" s="1"/>
  <c r="AN11" i="7"/>
  <c r="AI11" i="7"/>
  <c r="X11" i="7"/>
  <c r="W11" i="7"/>
  <c r="Y11" i="7" s="1"/>
  <c r="AB11" i="7" s="1"/>
  <c r="AF11" i="7" s="1"/>
  <c r="U11" i="7"/>
  <c r="AD11" i="7" s="1"/>
  <c r="R11" i="7"/>
  <c r="Q11" i="7"/>
  <c r="O11" i="7"/>
  <c r="P11" i="7" s="1"/>
  <c r="H11" i="7"/>
  <c r="I11" i="7" s="1"/>
  <c r="L11" i="7" s="1"/>
  <c r="M11" i="7" s="1"/>
  <c r="AN10" i="7"/>
  <c r="AI10" i="7"/>
  <c r="X10" i="7"/>
  <c r="W10" i="7"/>
  <c r="U10" i="7"/>
  <c r="AD10" i="7" s="1"/>
  <c r="R10" i="7"/>
  <c r="Q10" i="7"/>
  <c r="O10" i="7"/>
  <c r="P10" i="7" s="1"/>
  <c r="H10" i="7"/>
  <c r="I10" i="7" s="1"/>
  <c r="L10" i="7" s="1"/>
  <c r="M10" i="7" s="1"/>
  <c r="AN9" i="7"/>
  <c r="AI9" i="7"/>
  <c r="X9" i="7"/>
  <c r="W9" i="7"/>
  <c r="U9" i="7"/>
  <c r="AD9" i="7" s="1"/>
  <c r="R9" i="7"/>
  <c r="Q9" i="7"/>
  <c r="O9" i="7"/>
  <c r="P9" i="7" s="1"/>
  <c r="H9" i="7"/>
  <c r="I9" i="7" s="1"/>
  <c r="L9" i="7" s="1"/>
  <c r="M9" i="7" s="1"/>
  <c r="AN8" i="7"/>
  <c r="X8" i="7"/>
  <c r="W8" i="7"/>
  <c r="U8" i="7"/>
  <c r="AD8" i="7" s="1"/>
  <c r="R8" i="7"/>
  <c r="Q8" i="7"/>
  <c r="O8" i="7"/>
  <c r="P8" i="7" s="1"/>
  <c r="H8" i="7"/>
  <c r="I8" i="7" s="1"/>
  <c r="L8" i="7" s="1"/>
  <c r="M8" i="7" s="1"/>
  <c r="AN7" i="7"/>
  <c r="X7" i="7"/>
  <c r="W7" i="7"/>
  <c r="U7" i="7"/>
  <c r="AD7" i="7" s="1"/>
  <c r="R7" i="7"/>
  <c r="Q7" i="7"/>
  <c r="O7" i="7"/>
  <c r="P7" i="7" s="1"/>
  <c r="H7" i="7"/>
  <c r="I7" i="7" s="1"/>
  <c r="L7" i="7" s="1"/>
  <c r="M7" i="7" s="1"/>
  <c r="Y9" i="7" l="1"/>
  <c r="AB9" i="7" s="1"/>
  <c r="AF9" i="7" s="1"/>
  <c r="AG9" i="7" s="1"/>
  <c r="Y10" i="7"/>
  <c r="AB10" i="7" s="1"/>
  <c r="AF10" i="7" s="1"/>
  <c r="AG10" i="7" s="1"/>
  <c r="Y12" i="7"/>
  <c r="AB12" i="7" s="1"/>
  <c r="AF12" i="7" s="1"/>
  <c r="AG12" i="7" s="1"/>
  <c r="Y8" i="7"/>
  <c r="AB8" i="7" s="1"/>
  <c r="AF8" i="7" s="1"/>
  <c r="AG8" i="7" s="1"/>
  <c r="Y7" i="7"/>
  <c r="AB7" i="7" s="1"/>
  <c r="AF7" i="7" s="1"/>
  <c r="AJ7" i="7" s="1"/>
  <c r="AK7" i="7" s="1"/>
  <c r="AF4" i="1"/>
  <c r="AI4" i="1"/>
  <c r="AJ4" i="1" s="1"/>
  <c r="X3" i="1"/>
  <c r="AA3" i="1" s="1"/>
  <c r="AC3" i="1"/>
  <c r="AJ25" i="7"/>
  <c r="AK25" i="7" s="1"/>
  <c r="AG25" i="7"/>
  <c r="AI10" i="1"/>
  <c r="AJ10" i="1" s="1"/>
  <c r="AF10" i="1"/>
  <c r="AG17" i="7"/>
  <c r="AJ17" i="7"/>
  <c r="AK17" i="7" s="1"/>
  <c r="X15" i="1"/>
  <c r="AA15" i="1" s="1"/>
  <c r="AE15" i="1" s="1"/>
  <c r="AC20" i="1"/>
  <c r="X20" i="1"/>
  <c r="AA20" i="1" s="1"/>
  <c r="X8" i="1"/>
  <c r="AA8" i="1" s="1"/>
  <c r="AE8" i="1" s="1"/>
  <c r="AJ29" i="7"/>
  <c r="AK29" i="7" s="1"/>
  <c r="AG29" i="7"/>
  <c r="AG21" i="7"/>
  <c r="AJ21" i="7"/>
  <c r="AK21" i="7" s="1"/>
  <c r="AO18" i="7"/>
  <c r="AP18" i="7" s="1"/>
  <c r="AO22" i="7"/>
  <c r="AP22" i="7" s="1"/>
  <c r="X22" i="1"/>
  <c r="AA22" i="1" s="1"/>
  <c r="AE22" i="1" s="1"/>
  <c r="AI13" i="1"/>
  <c r="AJ13" i="1" s="1"/>
  <c r="AF13" i="1"/>
  <c r="X18" i="1"/>
  <c r="AA18" i="1" s="1"/>
  <c r="AE18" i="1" s="1"/>
  <c r="AJ14" i="7"/>
  <c r="AK14" i="7" s="1"/>
  <c r="AJ18" i="7"/>
  <c r="AK18" i="7" s="1"/>
  <c r="AJ22" i="7"/>
  <c r="AK22" i="7" s="1"/>
  <c r="AJ26" i="7"/>
  <c r="AK26" i="7" s="1"/>
  <c r="X23" i="1"/>
  <c r="AA23" i="1" s="1"/>
  <c r="AE23" i="1" s="1"/>
  <c r="AO21" i="7"/>
  <c r="AP21" i="7" s="1"/>
  <c r="AO25" i="7"/>
  <c r="AP25" i="7" s="1"/>
  <c r="AO29" i="7"/>
  <c r="AP29" i="7" s="1"/>
  <c r="X6" i="1"/>
  <c r="AA6" i="1" s="1"/>
  <c r="AE6" i="1" s="1"/>
  <c r="AI11" i="1"/>
  <c r="AJ11" i="1" s="1"/>
  <c r="AF11" i="1"/>
  <c r="X21" i="1"/>
  <c r="AA21" i="1" s="1"/>
  <c r="AE21" i="1" s="1"/>
  <c r="AI16" i="1"/>
  <c r="AJ16" i="1" s="1"/>
  <c r="AF16" i="1"/>
  <c r="AI9" i="1"/>
  <c r="AJ9" i="1" s="1"/>
  <c r="AF9" i="1"/>
  <c r="AN12" i="1"/>
  <c r="AO12" i="1" s="1"/>
  <c r="AI14" i="1"/>
  <c r="AJ14" i="1" s="1"/>
  <c r="AF14" i="1"/>
  <c r="AJ11" i="7"/>
  <c r="AK11" i="7" s="1"/>
  <c r="AG11" i="7"/>
  <c r="AG13" i="7"/>
  <c r="AJ13" i="7"/>
  <c r="AK13" i="7" s="1"/>
  <c r="X19" i="1"/>
  <c r="AA19" i="1" s="1"/>
  <c r="AE19" i="1" s="1"/>
  <c r="X7" i="1"/>
  <c r="AA7" i="1" s="1"/>
  <c r="AE7" i="1" s="1"/>
  <c r="AI12" i="1"/>
  <c r="AJ12" i="1" s="1"/>
  <c r="AF12" i="1"/>
  <c r="AI17" i="1"/>
  <c r="AJ17" i="1" s="1"/>
  <c r="AF17" i="1"/>
  <c r="AO26" i="7"/>
  <c r="AP26" i="7" s="1"/>
  <c r="AO14" i="7"/>
  <c r="AP14" i="7" s="1"/>
  <c r="X5" i="1"/>
  <c r="AA5" i="1" s="1"/>
  <c r="AE5" i="1" s="1"/>
  <c r="Y15" i="7"/>
  <c r="AB15" i="7" s="1"/>
  <c r="AF15" i="7" s="1"/>
  <c r="Y19" i="7"/>
  <c r="AB19" i="7" s="1"/>
  <c r="AF19" i="7" s="1"/>
  <c r="Y23" i="7"/>
  <c r="AB23" i="7" s="1"/>
  <c r="AF23" i="7" s="1"/>
  <c r="Y27" i="7"/>
  <c r="AB27" i="7" s="1"/>
  <c r="AF27" i="7" s="1"/>
  <c r="Y16" i="7"/>
  <c r="AB16" i="7" s="1"/>
  <c r="AF16" i="7" s="1"/>
  <c r="AG16" i="7" s="1"/>
  <c r="Y20" i="7"/>
  <c r="AB20" i="7" s="1"/>
  <c r="AF20" i="7" s="1"/>
  <c r="AG20" i="7" s="1"/>
  <c r="Y24" i="7"/>
  <c r="AB24" i="7" s="1"/>
  <c r="AF24" i="7" s="1"/>
  <c r="AG24" i="7" s="1"/>
  <c r="Y28" i="7"/>
  <c r="AB28" i="7" s="1"/>
  <c r="AF28" i="7" s="1"/>
  <c r="AG28" i="7" s="1"/>
  <c r="AJ9" i="7" l="1"/>
  <c r="AK9" i="7" s="1"/>
  <c r="AJ8" i="7"/>
  <c r="AK8" i="7" s="1"/>
  <c r="AJ12" i="7"/>
  <c r="AK12" i="7" s="1"/>
  <c r="AJ10" i="7"/>
  <c r="AK10" i="7" s="1"/>
  <c r="AG7" i="7"/>
  <c r="AO12" i="7"/>
  <c r="AP12" i="7" s="1"/>
  <c r="AQ12" i="7" s="1"/>
  <c r="AO11" i="7"/>
  <c r="AP11" i="7" s="1"/>
  <c r="AS11" i="7" s="1"/>
  <c r="AO9" i="7"/>
  <c r="AP9" i="7" s="1"/>
  <c r="AS9" i="7" s="1"/>
  <c r="AN4" i="1"/>
  <c r="AO4" i="1" s="1"/>
  <c r="AP4" i="1" s="1"/>
  <c r="AE3" i="1"/>
  <c r="AR4" i="1"/>
  <c r="AQ4" i="1"/>
  <c r="AJ20" i="7"/>
  <c r="AE20" i="1"/>
  <c r="AS26" i="7"/>
  <c r="AR26" i="7"/>
  <c r="AQ26" i="7"/>
  <c r="AJ16" i="7"/>
  <c r="AS29" i="7"/>
  <c r="AR29" i="7"/>
  <c r="AQ29" i="7"/>
  <c r="AI18" i="1"/>
  <c r="AF18" i="1"/>
  <c r="AN16" i="1"/>
  <c r="AO16" i="1" s="1"/>
  <c r="AI15" i="1"/>
  <c r="AF15" i="1"/>
  <c r="AI22" i="1"/>
  <c r="AF22" i="1"/>
  <c r="AN13" i="1"/>
  <c r="AO13" i="1" s="1"/>
  <c r="AS25" i="7"/>
  <c r="AR25" i="7"/>
  <c r="AQ25" i="7"/>
  <c r="AJ28" i="7"/>
  <c r="AJ24" i="7"/>
  <c r="AI7" i="1"/>
  <c r="AF7" i="1"/>
  <c r="AR12" i="1"/>
  <c r="AQ12" i="1"/>
  <c r="AP12" i="1"/>
  <c r="AO13" i="7"/>
  <c r="AP13" i="7" s="1"/>
  <c r="AN10" i="1"/>
  <c r="AO10" i="1" s="1"/>
  <c r="AI6" i="1"/>
  <c r="AF6" i="1"/>
  <c r="AS22" i="7"/>
  <c r="AR22" i="7"/>
  <c r="AQ22" i="7"/>
  <c r="AS21" i="7"/>
  <c r="AR21" i="7"/>
  <c r="AQ21" i="7"/>
  <c r="AI23" i="1"/>
  <c r="AF23" i="1"/>
  <c r="AN11" i="1"/>
  <c r="AO11" i="1" s="1"/>
  <c r="AN14" i="1"/>
  <c r="AO14" i="1" s="1"/>
  <c r="AI19" i="1"/>
  <c r="AF19" i="1"/>
  <c r="AI21" i="1"/>
  <c r="AF21" i="1"/>
  <c r="AN17" i="1"/>
  <c r="AO17" i="1" s="1"/>
  <c r="AI8" i="1"/>
  <c r="AF8" i="1"/>
  <c r="AS18" i="7"/>
  <c r="AR18" i="7"/>
  <c r="AQ18" i="7"/>
  <c r="AJ27" i="7"/>
  <c r="AG27" i="7"/>
  <c r="AO17" i="7"/>
  <c r="AP17" i="7" s="1"/>
  <c r="AJ23" i="7"/>
  <c r="AG23" i="7"/>
  <c r="AJ19" i="7"/>
  <c r="AG19" i="7"/>
  <c r="AJ15" i="7"/>
  <c r="AG15" i="7"/>
  <c r="AI5" i="1"/>
  <c r="AF5" i="1"/>
  <c r="AN9" i="1"/>
  <c r="AO9" i="1" s="1"/>
  <c r="AS14" i="7"/>
  <c r="AR14" i="7"/>
  <c r="AQ14" i="7"/>
  <c r="AO7" i="7"/>
  <c r="AP7" i="7" s="1"/>
  <c r="AO10" i="7" l="1"/>
  <c r="AP10" i="7" s="1"/>
  <c r="AS10" i="7" s="1"/>
  <c r="AQ9" i="7"/>
  <c r="AR9" i="7"/>
  <c r="AO8" i="7"/>
  <c r="AP8" i="7" s="1"/>
  <c r="AS8" i="7" s="1"/>
  <c r="AR11" i="7"/>
  <c r="AQ11" i="7"/>
  <c r="AS12" i="7"/>
  <c r="AR12" i="7"/>
  <c r="AF3" i="1"/>
  <c r="AI3" i="1"/>
  <c r="AR9" i="1"/>
  <c r="AQ9" i="1"/>
  <c r="AP9" i="1"/>
  <c r="AJ21" i="1"/>
  <c r="AN21" i="1"/>
  <c r="AO21" i="1" s="1"/>
  <c r="AR10" i="1"/>
  <c r="AQ10" i="1"/>
  <c r="AP10" i="1"/>
  <c r="AP16" i="1"/>
  <c r="AR16" i="1"/>
  <c r="AQ16" i="1"/>
  <c r="AJ8" i="1"/>
  <c r="AN8" i="1"/>
  <c r="AO8" i="1" s="1"/>
  <c r="AP11" i="1"/>
  <c r="AR11" i="1"/>
  <c r="AQ11" i="1"/>
  <c r="AJ22" i="1"/>
  <c r="AN22" i="1"/>
  <c r="AO22" i="1" s="1"/>
  <c r="AJ15" i="1"/>
  <c r="AN15" i="1"/>
  <c r="AO15" i="1" s="1"/>
  <c r="AJ18" i="1"/>
  <c r="AN18" i="1"/>
  <c r="AO18" i="1" s="1"/>
  <c r="AJ7" i="1"/>
  <c r="AN7" i="1"/>
  <c r="AO7" i="1" s="1"/>
  <c r="AK27" i="7"/>
  <c r="AO27" i="7"/>
  <c r="AP27" i="7" s="1"/>
  <c r="AR13" i="1"/>
  <c r="AQ13" i="1"/>
  <c r="AP13" i="1"/>
  <c r="AJ19" i="1"/>
  <c r="AN19" i="1"/>
  <c r="AO19" i="1" s="1"/>
  <c r="AK23" i="7"/>
  <c r="AO23" i="7"/>
  <c r="AP23" i="7" s="1"/>
  <c r="AS17" i="7"/>
  <c r="AR17" i="7"/>
  <c r="AQ17" i="7"/>
  <c r="AK28" i="7"/>
  <c r="AO28" i="7"/>
  <c r="AP28" i="7" s="1"/>
  <c r="AR17" i="1"/>
  <c r="AQ17" i="1"/>
  <c r="AP17" i="1"/>
  <c r="AJ5" i="1"/>
  <c r="AN5" i="1"/>
  <c r="AO5" i="1" s="1"/>
  <c r="AI20" i="1"/>
  <c r="AF20" i="1"/>
  <c r="AJ6" i="1"/>
  <c r="AN6" i="1"/>
  <c r="AO6" i="1" s="1"/>
  <c r="AS13" i="7"/>
  <c r="AR13" i="7"/>
  <c r="AQ13" i="7"/>
  <c r="AK15" i="7"/>
  <c r="AO15" i="7"/>
  <c r="AP15" i="7" s="1"/>
  <c r="AR14" i="1"/>
  <c r="AQ14" i="1"/>
  <c r="AP14" i="1"/>
  <c r="AK19" i="7"/>
  <c r="AO19" i="7"/>
  <c r="AP19" i="7" s="1"/>
  <c r="AJ23" i="1"/>
  <c r="AN23" i="1"/>
  <c r="AO23" i="1" s="1"/>
  <c r="AK24" i="7"/>
  <c r="AO24" i="7"/>
  <c r="AP24" i="7" s="1"/>
  <c r="AK16" i="7"/>
  <c r="AO16" i="7"/>
  <c r="AP16" i="7" s="1"/>
  <c r="AQ7" i="7"/>
  <c r="AS7" i="7"/>
  <c r="AR7" i="7"/>
  <c r="AK20" i="7"/>
  <c r="AO20" i="7"/>
  <c r="AP20" i="7" s="1"/>
  <c r="AQ10" i="7" l="1"/>
  <c r="AR10" i="7"/>
  <c r="AR8" i="7"/>
  <c r="AQ8" i="7"/>
  <c r="AJ3" i="1"/>
  <c r="AN3" i="1"/>
  <c r="AO3" i="1" s="1"/>
  <c r="AP6" i="1"/>
  <c r="AR6" i="1"/>
  <c r="AQ6" i="1"/>
  <c r="AR20" i="7"/>
  <c r="AQ20" i="7"/>
  <c r="AS20" i="7"/>
  <c r="AS23" i="7"/>
  <c r="AR23" i="7"/>
  <c r="AQ23" i="7"/>
  <c r="AJ20" i="1"/>
  <c r="AN20" i="1"/>
  <c r="AO20" i="1" s="1"/>
  <c r="AS15" i="7"/>
  <c r="AQ15" i="7"/>
  <c r="AR15" i="7"/>
  <c r="AQ24" i="7"/>
  <c r="AR24" i="7"/>
  <c r="AS24" i="7"/>
  <c r="AR7" i="1"/>
  <c r="AQ7" i="1"/>
  <c r="AP7" i="1"/>
  <c r="AR18" i="1"/>
  <c r="AQ18" i="1"/>
  <c r="AP18" i="1"/>
  <c r="AR28" i="7"/>
  <c r="AQ28" i="7"/>
  <c r="AS28" i="7"/>
  <c r="AR15" i="1"/>
  <c r="AQ15" i="1"/>
  <c r="AP15" i="1"/>
  <c r="AR8" i="1"/>
  <c r="AQ8" i="1"/>
  <c r="AP8" i="1"/>
  <c r="AQ16" i="7"/>
  <c r="AR16" i="7"/>
  <c r="AS16" i="7"/>
  <c r="AR5" i="1"/>
  <c r="AQ5" i="1"/>
  <c r="AP5" i="1"/>
  <c r="AR23" i="1"/>
  <c r="AQ23" i="1"/>
  <c r="AP23" i="1"/>
  <c r="AP21" i="1"/>
  <c r="AR21" i="1"/>
  <c r="AQ21" i="1"/>
  <c r="AR19" i="1"/>
  <c r="AQ19" i="1"/>
  <c r="AP19" i="1"/>
  <c r="AR27" i="7"/>
  <c r="AS27" i="7"/>
  <c r="AQ27" i="7"/>
  <c r="AS19" i="7"/>
  <c r="AQ19" i="7"/>
  <c r="AR19" i="7"/>
  <c r="AR22" i="1"/>
  <c r="AQ22" i="1"/>
  <c r="AP22" i="1"/>
  <c r="AR3" i="1" l="1"/>
  <c r="AP3" i="1"/>
  <c r="AQ3" i="1"/>
  <c r="AR20" i="1"/>
  <c r="AQ20" i="1"/>
  <c r="AP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tc={53C7C169-EA9D-4C9F-AF5A-5A7CE3A94DD9}</author>
    <author>tc={95FDC98C-1559-4877-93D7-7C8A399CCD3F}</author>
    <author>tc={A2034131-0B83-4B30-B2C2-C3FD06F0D9B5}</author>
    <author>tc={053AD380-B7ED-4C36-8AE0-D44188428A5A}</author>
    <author>tc={84AE1D00-F074-4BEB-B28A-E2FE9AA1C650}</author>
    <author>tc={046EC51F-954D-425E-87C1-21B5A97EC908}</author>
    <author>tc={1FDE3DB2-85C8-41E4-98D1-239325D2F7D8}</author>
    <author>tc={49125AE8-2DFB-4FAE-8544-D1DDF8D57700}</author>
  </authors>
  <commentList>
    <comment ref="G2" authorId="0" shapeId="0" xr:uid="{53C7C169-EA9D-4C9F-AF5A-5A7CE3A94DD9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Например, комиссия байера</t>
        </r>
      </text>
    </comment>
    <comment ref="J2" authorId="1" shapeId="0" xr:uid="{95FDC98C-1559-4877-93D7-7C8A399CCD3F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Например, стоимость упаковки, маркировки, подарочка и пр.</t>
        </r>
      </text>
    </comment>
    <comment ref="K2" authorId="2" shapeId="0" xr:uid="{A2034131-0B83-4B30-B2C2-C3FD06F0D9B5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Например, логистика (от вашего слада/фф до склада/СЦ маркетплейса)</t>
        </r>
      </text>
    </comment>
    <comment ref="Q2" authorId="3" shapeId="0" xr:uid="{053AD380-B7ED-4C36-8AE0-D44188428A5A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В среднем 1,5%</t>
        </r>
      </text>
    </comment>
    <comment ref="U2" authorId="4" shapeId="0" xr:uid="{84AE1D00-F074-4BEB-B28A-E2FE9AA1C650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Если не можете спрогнозировать индекс, выбирайте значение 65-74 - тогда индекс не влияет на стоимость логистики</t>
        </r>
      </text>
    </comment>
    <comment ref="Z2" authorId="5" shapeId="0" xr:uid="{046EC51F-954D-425E-87C1-21B5A97EC908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Вместо бывшей "Последней мили
(от СЦ до ПВЗ)"
Доставка до места выдачи — это доставка заказа курьером в кластере назначения до точки выдачи клиенту. Местом выдачи может являться пункт выдачи заказов, постамат, отделение почты или иной пункт.
При доставке в РФ — плата зависит от итогового вознаграждения партнёра-исполнителя, который оказал услугу, но не превышает 25 рублей. При доставке за рубеж — плата включена в стоимость логистики. Вознаграждение Ozon за привлечение партнёров включено в вознаграждение за продажу. При возвратах, невыкупах и отменах удерживаем расходы на услугу.</t>
        </r>
      </text>
    </comment>
    <comment ref="AQ2" authorId="6" shapeId="0" xr:uid="{1FDE3DB2-85C8-41E4-98D1-239325D2F7D8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Считается как 
Прибыль/Цену
Является долей вашей прибыли в вашей выручке</t>
        </r>
      </text>
    </comment>
    <comment ref="AR2" authorId="7" shapeId="0" xr:uid="{49125AE8-2DFB-4FAE-8544-D1DDF8D57700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Считается как 
Прибыль/Себестоимость
Если ваша рентабельность 130%, значит на каждый вложенный рубль вы вернули 2.3 руб. (заработали 1.3 руб.)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tc={07591035-C04A-42F5-B35E-423223E56720}</author>
    <author>tc={53EAC705-7704-4F60-AB15-1238B821F60B}</author>
    <author>tc={0F753F26-FA34-4596-811A-F3EDE7D98396}</author>
    <author>tc={5C13658A-581E-412C-8B30-BDB3E996FCF9}</author>
    <author>tc={F73D18BC-09B5-48E3-83C1-A5652327EC13}</author>
    <author>tc={A3994ACC-C836-477E-A534-95B526F13C7B}</author>
    <author>tc={7A29DBD2-F743-4646-A575-6C3C5F00E99E}</author>
    <author>tc={0A1AC8DF-1E3E-42A8-9041-53409568BF56}</author>
  </authors>
  <commentList>
    <comment ref="G6" authorId="0" shapeId="0" xr:uid="{07591035-C04A-42F5-B35E-423223E56720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Например, комиссия байера</t>
        </r>
      </text>
    </comment>
    <comment ref="J6" authorId="1" shapeId="0" xr:uid="{53EAC705-7704-4F60-AB15-1238B821F60B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Например, стоимость упаковки, маркировки, подарочка и пр.</t>
        </r>
      </text>
    </comment>
    <comment ref="K6" authorId="2" shapeId="0" xr:uid="{0F753F26-FA34-4596-811A-F3EDE7D98396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Например, логистика (от вашего слада/фф до склада/СЦ маркетплейса)</t>
        </r>
      </text>
    </comment>
    <comment ref="Q6" authorId="3" shapeId="0" xr:uid="{5C13658A-581E-412C-8B30-BDB3E996FCF9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В среднем 1,5%</t>
        </r>
      </text>
    </comment>
    <comment ref="V6" authorId="4" shapeId="0" xr:uid="{F73D18BC-09B5-48E3-83C1-A5652327EC13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Если не можете спрогнозировать индекс, выбирайте значение 65-74 - тогда индекс не влияет на стоимость логистики</t>
        </r>
      </text>
    </comment>
    <comment ref="AA6" authorId="5" shapeId="0" xr:uid="{A3994ACC-C836-477E-A534-95B526F13C7B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Вместо бывшей "Последней мили
(от СЦ до ПВЗ)"
Доставка до места выдачи — это доставка заказа курьером в кластере назначения до точки выдачи клиенту. Местом выдачи может являться пункт выдачи заказов, постамат, отделение почты или иной пункт.
При доставке в РФ — плата зависит от итогового вознаграждения партнёра-исполнителя, который оказал услугу, но не превышает 25 рублей. При доставке за рубеж — плата включена в стоимость логистики. Вознаграждение Ozon за привлечение партнёров включено в вознаграждение за продажу. При возвратах, невыкупах и отменах удерживаем расходы на услугу.</t>
        </r>
      </text>
    </comment>
    <comment ref="AR6" authorId="6" shapeId="0" xr:uid="{7A29DBD2-F743-4646-A575-6C3C5F00E99E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Считается как 
Прибыль/Цену
Является долей вашей прибыли в вашей выручке</t>
        </r>
      </text>
    </comment>
    <comment ref="AS6" authorId="7" shapeId="0" xr:uid="{0A1AC8DF-1E3E-42A8-9041-53409568BF56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application allows you to read this threaded comment; however, any edits to it will get removed if the file is opened in a latest version of Excel.
Comment:
		Считается как 
Прибыль/Себестоимость
Если ваша рентабельность 130%, значит на каждый вложенный рубль вы вернули 2.3 руб. (заработали 1.3 руб.)</t>
        </r>
      </text>
    </comment>
  </commentList>
</comments>
</file>

<file path=xl/sharedStrings.xml><?xml version="1.0" encoding="utf-8"?>
<sst xmlns="http://schemas.openxmlformats.org/spreadsheetml/2006/main" count="215" uniqueCount="133">
  <si>
    <t>Название товара</t>
  </si>
  <si>
    <t>Цена закупки</t>
  </si>
  <si>
    <t>Количество шт. в партии</t>
  </si>
  <si>
    <t>Комиссии (%)</t>
  </si>
  <si>
    <t>Стоимость партии</t>
  </si>
  <si>
    <t>Комиссии (руб)</t>
  </si>
  <si>
    <t>Расходы на ед.товара</t>
  </si>
  <si>
    <t>Расходы на партию товара</t>
  </si>
  <si>
    <t>Стоимость партии после отгрузки</t>
  </si>
  <si>
    <t xml:space="preserve">Себестоимость единицы </t>
  </si>
  <si>
    <t>Комиссия OZON %</t>
  </si>
  <si>
    <t xml:space="preserve">Комиссия OZON </t>
  </si>
  <si>
    <t>Цена поставщика до скидок OZON</t>
  </si>
  <si>
    <t>Эквайринг</t>
  </si>
  <si>
    <t>Тариф логистики</t>
  </si>
  <si>
    <t>Ссылка на справочник</t>
  </si>
  <si>
    <t>Объём товара (л)</t>
  </si>
  <si>
    <t>Стоимость доставки до СЦ</t>
  </si>
  <si>
    <t>Итого логистика доставки</t>
  </si>
  <si>
    <t>Логистика доставки</t>
  </si>
  <si>
    <t>Логистика возврата</t>
  </si>
  <si>
    <t>Обработка возврата</t>
  </si>
  <si>
    <t>Итого обратная логистика</t>
  </si>
  <si>
    <t>Процент выкупа</t>
  </si>
  <si>
    <t>Логистика итог</t>
  </si>
  <si>
    <t>Пояснение к расчёту логистики с учётом выкупа</t>
  </si>
  <si>
    <t>Процент затрат на рекламу и другие услуги</t>
  </si>
  <si>
    <t>Реклама и другие услуги</t>
  </si>
  <si>
    <t>Всего удержаний OZON</t>
  </si>
  <si>
    <t>Всего удержаний OZON (%)</t>
  </si>
  <si>
    <t>Налог</t>
  </si>
  <si>
    <t>УСН-доходы</t>
  </si>
  <si>
    <t>УСН Д-Р</t>
  </si>
  <si>
    <t>Не считать налог</t>
  </si>
  <si>
    <t>Система налогообложения</t>
  </si>
  <si>
    <t>Ставка налога</t>
  </si>
  <si>
    <t>Налог, руб.</t>
  </si>
  <si>
    <t>Всего затрат на единицу</t>
  </si>
  <si>
    <t>Прибыль на единицу</t>
  </si>
  <si>
    <t>Прибыль на партию</t>
  </si>
  <si>
    <t>Маржинальность</t>
  </si>
  <si>
    <t>Рентабельность возврата инвестиций</t>
  </si>
  <si>
    <t>Длина
(см)</t>
  </si>
  <si>
    <t>Ширина
(см)</t>
  </si>
  <si>
    <t>Высота
(см)</t>
  </si>
  <si>
    <t>FBS</t>
  </si>
  <si>
    <t>Схема работы</t>
  </si>
  <si>
    <t>FBO</t>
  </si>
  <si>
    <t>Обработка отправления
(для FBS)</t>
  </si>
  <si>
    <t>Доля логистики в выручке</t>
  </si>
  <si>
    <t>L</t>
  </si>
  <si>
    <t>XL</t>
  </si>
  <si>
    <t>Среднее время доставки</t>
  </si>
  <si>
    <t>Откуда -&gt; куда</t>
  </si>
  <si>
    <t>Москва, МО и Дальние регионы</t>
  </si>
  <si>
    <t>Санкт-Петербург и СЗО</t>
  </si>
  <si>
    <t>Воронеж</t>
  </si>
  <si>
    <t>Ростов-на-дону</t>
  </si>
  <si>
    <t>Волгоград</t>
  </si>
  <si>
    <t>Казань</t>
  </si>
  <si>
    <t>Самара</t>
  </si>
  <si>
    <t>Уфа</t>
  </si>
  <si>
    <t>Краснодар</t>
  </si>
  <si>
    <t>Кавказ</t>
  </si>
  <si>
    <t>Урал</t>
  </si>
  <si>
    <t>Тюмень</t>
  </si>
  <si>
    <t>Омск</t>
  </si>
  <si>
    <t>Новосибирск</t>
  </si>
  <si>
    <t>Красноярск</t>
  </si>
  <si>
    <t>Дальний Восток</t>
  </si>
  <si>
    <t>Калининград</t>
  </si>
  <si>
    <t>Беларусь</t>
  </si>
  <si>
    <t>Казахстан</t>
  </si>
  <si>
    <t>Ростов</t>
  </si>
  <si>
    <t>Приоритетный кластер</t>
  </si>
  <si>
    <t>Альтернативный кластер для поставки</t>
  </si>
  <si>
    <r>
      <rPr>
        <sz val="14"/>
        <color theme="1"/>
        <rFont val="Calibri"/>
        <family val="2"/>
        <charset val="204"/>
        <scheme val="minor"/>
      </rPr>
      <t xml:space="preserve">Как работать с таблицей:
1. Слева отображаем кластер отгрузки, сверху (по горизонтали) — кластер доставки
2. Определите в каком кластере есть спрос на ваши товары. Например, в кластере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.
3. Посмотрите с каким нормативным временем будут доставлять ваши заказы в кластер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. Самый быстрый маршрут из </t>
    </r>
    <r>
      <rPr>
        <b/>
        <sz val="14"/>
        <color theme="1"/>
        <rFont val="Calibri"/>
        <family val="2"/>
        <charset val="204"/>
        <scheme val="minor"/>
      </rPr>
      <t>Казани</t>
    </r>
    <r>
      <rPr>
        <sz val="14"/>
        <color theme="1"/>
        <rFont val="Calibri"/>
        <family val="2"/>
        <charset val="204"/>
        <scheme val="minor"/>
      </rPr>
      <t xml:space="preserve"> в Казань — нормативное время 28 часов. В этот кластер стоит сделать поставку, чтобы ваши товары доставлялись быстро и среднее время доставки улучшалось, а затраты сокращались.
4. Если поставка в кластер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 недоступна, выберите альтернативные кластеры — они выделены жёлтым цветом. Например, можно привезти товары в </t>
    </r>
    <r>
      <rPr>
        <b/>
        <sz val="14"/>
        <color theme="1"/>
        <rFont val="Calibri"/>
        <family val="2"/>
        <charset val="204"/>
        <scheme val="minor"/>
      </rPr>
      <t>Москву</t>
    </r>
    <r>
      <rPr>
        <sz val="14"/>
        <color theme="1"/>
        <rFont val="Calibri"/>
        <family val="2"/>
        <charset val="204"/>
        <scheme val="minor"/>
      </rPr>
      <t xml:space="preserve">, </t>
    </r>
    <r>
      <rPr>
        <b/>
        <sz val="14"/>
        <color theme="1"/>
        <rFont val="Calibri"/>
        <family val="2"/>
        <charset val="204"/>
        <scheme val="minor"/>
      </rPr>
      <t>Воронеж</t>
    </r>
    <r>
      <rPr>
        <sz val="14"/>
        <color theme="1"/>
        <rFont val="Calibri"/>
        <family val="2"/>
        <charset val="204"/>
        <scheme val="minor"/>
      </rPr>
      <t xml:space="preserve">, </t>
    </r>
    <r>
      <rPr>
        <b/>
        <sz val="14"/>
        <color theme="1"/>
        <rFont val="Calibri"/>
        <family val="2"/>
        <charset val="204"/>
        <scheme val="minor"/>
      </rPr>
      <t>Самару</t>
    </r>
    <r>
      <rPr>
        <sz val="14"/>
        <color theme="1"/>
        <rFont val="Calibri"/>
        <family val="2"/>
        <charset val="204"/>
        <scheme val="minor"/>
      </rPr>
      <t xml:space="preserve"> или </t>
    </r>
    <r>
      <rPr>
        <b/>
        <sz val="14"/>
        <color theme="1"/>
        <rFont val="Calibri"/>
        <family val="2"/>
        <charset val="204"/>
        <scheme val="minor"/>
      </rPr>
      <t>Уфу</t>
    </r>
    <r>
      <rPr>
        <sz val="14"/>
        <color theme="1"/>
        <rFont val="Calibri"/>
        <family val="2"/>
        <charset val="204"/>
        <scheme val="minor"/>
      </rPr>
      <t xml:space="preserve"> — доставка товаров из этих кластеров в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 займёт 45 часов.</t>
    </r>
  </si>
  <si>
    <t>1. Слева отображаем кластер отгрузки, сверху (по горизонтали) — кластер доставки.</t>
  </si>
  <si>
    <r>
      <t xml:space="preserve">2. Определите в каком кластере есть спрос на ваши товары. Например, в кластере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>.</t>
    </r>
  </si>
  <si>
    <r>
      <t xml:space="preserve">3. Посмотрите с каким нормативным временем будут доставлять ваши заказы в кластер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. Из </t>
    </r>
    <r>
      <rPr>
        <b/>
        <sz val="14"/>
        <color theme="1"/>
        <rFont val="Calibri"/>
        <family val="2"/>
        <charset val="204"/>
        <scheme val="minor"/>
      </rPr>
      <t>Казани</t>
    </r>
    <r>
      <rPr>
        <sz val="14"/>
        <color theme="1"/>
        <rFont val="Calibri"/>
        <family val="2"/>
        <charset val="204"/>
        <scheme val="minor"/>
      </rPr>
      <t xml:space="preserve"> — за 28 часов. В этот кластер стоит сделать поставку, чтобы ваши товары доставлялись быстро и среднее время доставки улучшалось, а затраты на логистику уменьшились. </t>
    </r>
  </si>
  <si>
    <r>
      <t xml:space="preserve">4. Если поставка в кластер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 недоступна, выберите альтернативные кластеры — они выделены жёлтым цветом. Например, можно привезти товары в </t>
    </r>
    <r>
      <rPr>
        <b/>
        <sz val="14"/>
        <color theme="1"/>
        <rFont val="Calibri"/>
        <family val="2"/>
        <charset val="204"/>
        <scheme val="minor"/>
      </rPr>
      <t>Москву</t>
    </r>
    <r>
      <rPr>
        <sz val="14"/>
        <color theme="1"/>
        <rFont val="Calibri"/>
        <family val="2"/>
        <charset val="204"/>
        <scheme val="minor"/>
      </rPr>
      <t xml:space="preserve">, </t>
    </r>
    <r>
      <rPr>
        <b/>
        <sz val="14"/>
        <color theme="1"/>
        <rFont val="Calibri"/>
        <family val="2"/>
        <charset val="204"/>
        <scheme val="minor"/>
      </rPr>
      <t>Воронеж</t>
    </r>
    <r>
      <rPr>
        <sz val="14"/>
        <color theme="1"/>
        <rFont val="Calibri"/>
        <family val="2"/>
        <charset val="204"/>
        <scheme val="minor"/>
      </rPr>
      <t xml:space="preserve">, </t>
    </r>
    <r>
      <rPr>
        <b/>
        <sz val="14"/>
        <color theme="1"/>
        <rFont val="Calibri"/>
        <family val="2"/>
        <charset val="204"/>
        <scheme val="minor"/>
      </rPr>
      <t>Самару</t>
    </r>
    <r>
      <rPr>
        <sz val="14"/>
        <color theme="1"/>
        <rFont val="Calibri"/>
        <family val="2"/>
        <charset val="204"/>
        <scheme val="minor"/>
      </rPr>
      <t xml:space="preserve"> или </t>
    </r>
    <r>
      <rPr>
        <b/>
        <sz val="14"/>
        <color theme="1"/>
        <rFont val="Calibri"/>
        <family val="2"/>
        <charset val="204"/>
        <scheme val="minor"/>
      </rPr>
      <t>Уфу</t>
    </r>
    <r>
      <rPr>
        <sz val="14"/>
        <color theme="1"/>
        <rFont val="Calibri"/>
        <family val="2"/>
        <charset val="204"/>
        <scheme val="minor"/>
      </rPr>
      <t xml:space="preserve"> — доставка из этих кластеров в </t>
    </r>
    <r>
      <rPr>
        <b/>
        <sz val="14"/>
        <color theme="1"/>
        <rFont val="Calibri"/>
        <family val="2"/>
        <charset val="204"/>
        <scheme val="minor"/>
      </rPr>
      <t>Казань</t>
    </r>
    <r>
      <rPr>
        <sz val="14"/>
        <color theme="1"/>
        <rFont val="Calibri"/>
        <family val="2"/>
        <charset val="204"/>
        <scheme val="minor"/>
      </rPr>
      <t xml:space="preserve"> займёт 45 часов.</t>
    </r>
  </si>
  <si>
    <t>Среднее время доставки, часы</t>
  </si>
  <si>
    <t>Коэффициент к базовому тарифу логистики</t>
  </si>
  <si>
    <t>Процент от цены товара</t>
  </si>
  <si>
    <t>Доставка до места выдачи</t>
  </si>
  <si>
    <t>Объём товара</t>
  </si>
  <si>
    <t>Тариф с НДС</t>
  </si>
  <si>
    <t>0 – 0,200 л</t>
  </si>
  <si>
    <t>0,201 – 0,400 л</t>
  </si>
  <si>
    <t>0,401 – 0,600 л</t>
  </si>
  <si>
    <t>0,601 – 0,800 л</t>
  </si>
  <si>
    <t>0,801 – 1 л</t>
  </si>
  <si>
    <t>1,001 – 1,250 л</t>
  </si>
  <si>
    <t>1,251 – 1,500 л</t>
  </si>
  <si>
    <t>1,501 – 1,750 л</t>
  </si>
  <si>
    <t>1,751 – 2 л</t>
  </si>
  <si>
    <t>2,001 – 3 л</t>
  </si>
  <si>
    <t>3,001 – 4 л</t>
  </si>
  <si>
    <t>4,001 – 5 л</t>
  </si>
  <si>
    <t>5,001 – 6 л</t>
  </si>
  <si>
    <t>6,001 – 7 л</t>
  </si>
  <si>
    <t>7,001 – 8 л</t>
  </si>
  <si>
    <t>8,001 – 9 л</t>
  </si>
  <si>
    <t>9,001 – 10 л</t>
  </si>
  <si>
    <t>10,001 – 11 л</t>
  </si>
  <si>
    <t>11,001 – 12 л</t>
  </si>
  <si>
    <t>12,001 – 13 л</t>
  </si>
  <si>
    <t>13,001 – 14 л</t>
  </si>
  <si>
    <t>14,001 – 15 л</t>
  </si>
  <si>
    <t>15,001 – 17 л</t>
  </si>
  <si>
    <t>17,001 – 20 л</t>
  </si>
  <si>
    <t>20,001 – 25 л</t>
  </si>
  <si>
    <t>25,001 – 30 л</t>
  </si>
  <si>
    <t>30,001 – 35 л</t>
  </si>
  <si>
    <t>35,001 – 40 л</t>
  </si>
  <si>
    <t>40.001 – 45 л</t>
  </si>
  <si>
    <t>45,001 – 50 л</t>
  </si>
  <si>
    <t>50,001 – 60 л</t>
  </si>
  <si>
    <t>60,001 – 70 л</t>
  </si>
  <si>
    <t>70,001 – 80 л</t>
  </si>
  <si>
    <t>80,001 – 90 л</t>
  </si>
  <si>
    <t>90,001 – 100 л</t>
  </si>
  <si>
    <t>100,001 – 125 л</t>
  </si>
  <si>
    <t>125,001 – 150 л</t>
  </si>
  <si>
    <t>150,001 – 175 л</t>
  </si>
  <si>
    <t>175,001 – 190 л</t>
  </si>
  <si>
    <t>от 190,001 л</t>
  </si>
  <si>
    <t>Тариф логистики для товаров до 300 рублей</t>
  </si>
  <si>
    <t>Укажите диапазон объёма</t>
  </si>
  <si>
    <t>Ключ</t>
  </si>
  <si>
    <t>Схема</t>
  </si>
  <si>
    <t>Литры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</si>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</sst>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₽&quot;;[Red]\-#,##0\ &quot;₽&quot;"/>
    <numFmt numFmtId="164" formatCode="#,##0.00\ &quot;₽&quot;"/>
    <numFmt numFmtId="165" formatCode="#,##0.0\ &quot;₽&quot;"/>
    <numFmt numFmtId="166" formatCode="#,##0\ &quot;₽&quot;"/>
    <numFmt numFmtId="167" formatCode="0.0%"/>
    <numFmt numFmtId="168" formatCode="0.000"/>
    <numFmt numFmtId="169" formatCode="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Montserrat"/>
      <charset val="204"/>
    </font>
    <font>
      <b/>
      <u/>
      <sz val="11"/>
      <color theme="10"/>
      <name val="Montserrat"/>
      <charset val="204"/>
    </font>
    <font>
      <b/>
      <u/>
      <sz val="10"/>
      <color theme="10"/>
      <name val="Montserrat"/>
      <charset val="204"/>
    </font>
    <font>
      <b/>
      <sz val="10"/>
      <color theme="1"/>
      <name val="Montserrat"/>
      <charset val="204"/>
    </font>
    <font>
      <sz val="10"/>
      <color theme="1"/>
      <name val="Montserrat"/>
      <charset val="204"/>
    </font>
    <font>
      <b/>
      <sz val="10"/>
      <color theme="0"/>
      <name val="Montserrat"/>
      <charset val="204"/>
    </font>
    <font>
      <b/>
      <sz val="16"/>
      <color theme="0"/>
      <name val="Montserrat"/>
      <charset val="204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rgb="FF002060"/>
      <name val="Montserrat"/>
      <charset val="204"/>
    </font>
    <font>
      <b/>
      <sz val="10"/>
      <color theme="1"/>
      <name val="Montserrat"/>
      <charset val="204"/>
    </font>
    <font>
      <b/>
      <sz val="10"/>
      <color theme="0"/>
      <name val="Montserrat"/>
      <charset val="204"/>
    </font>
    <font>
      <b/>
      <u/>
      <sz val="14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26"/>
      <color theme="1"/>
      <name val="Montserrat"/>
      <charset val="204"/>
    </font>
    <font>
      <sz val="11"/>
      <color theme="1"/>
      <name val="Montserrat"/>
      <charset val="204"/>
    </font>
    <font>
      <b/>
      <sz val="11"/>
      <color theme="1"/>
      <name val="Montserrat"/>
      <charset val="204"/>
    </font>
    <font>
      <b/>
      <sz val="18"/>
      <color theme="1"/>
      <name val="Montserrat"/>
      <charset val="204"/>
    </font>
    <font>
      <u/>
      <sz val="16"/>
      <color theme="10"/>
      <name val="Montserrat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24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theme="1"/>
      <name val="Montserrat"/>
      <charset val="204"/>
    </font>
    <font>
      <b/>
      <sz val="10"/>
      <color rgb="FF002060"/>
      <name val="Montserrat"/>
      <charset val="204"/>
    </font>
    <font>
      <b/>
      <sz val="8"/>
      <color theme="1"/>
      <name val="Montserrat"/>
      <charset val="204"/>
    </font>
    <font>
      <sz val="10"/>
      <color rgb="FF070707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  <xf numFmtId="0" fontId="12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165" fontId="0" fillId="0" borderId="0" xfId="0" applyNumberFormat="1"/>
    <xf numFmtId="0" fontId="6" fillId="0" borderId="0" xfId="2" applyFont="1" applyAlignment="1">
      <alignment horizontal="center" vertical="center" wrapText="1"/>
    </xf>
    <xf numFmtId="0" fontId="7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0" borderId="0" xfId="4"/>
    <xf numFmtId="0" fontId="9" fillId="8" borderId="5" xfId="0" applyFont="1" applyFill="1" applyBorder="1" applyAlignment="1">
      <alignment horizontal="center" vertical="center" wrapText="1"/>
    </xf>
    <xf numFmtId="9" fontId="8" fillId="0" borderId="2" xfId="1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3" borderId="2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/>
    </xf>
    <xf numFmtId="9" fontId="7" fillId="3" borderId="2" xfId="1" applyFont="1" applyFill="1" applyBorder="1" applyAlignment="1">
      <alignment horizontal="center" vertical="center"/>
    </xf>
    <xf numFmtId="166" fontId="7" fillId="9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7" fontId="2" fillId="3" borderId="2" xfId="1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168" fontId="7" fillId="10" borderId="2" xfId="0" applyNumberFormat="1" applyFont="1" applyFill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169" fontId="7" fillId="3" borderId="2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2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6" fontId="24" fillId="0" borderId="0" xfId="0" applyNumberFormat="1" applyFont="1" applyAlignment="1">
      <alignment horizontal="left" vertical="center" wrapText="1"/>
    </xf>
    <xf numFmtId="0" fontId="0" fillId="11" borderId="0" xfId="0" applyFill="1"/>
    <xf numFmtId="0" fontId="26" fillId="12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13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28" fillId="12" borderId="0" xfId="0" applyFont="1" applyFill="1"/>
    <xf numFmtId="0" fontId="0" fillId="12" borderId="0" xfId="0" applyFill="1"/>
    <xf numFmtId="0" fontId="28" fillId="13" borderId="0" xfId="0" applyFont="1" applyFill="1"/>
    <xf numFmtId="0" fontId="0" fillId="13" borderId="0" xfId="0" applyFill="1"/>
    <xf numFmtId="0" fontId="29" fillId="11" borderId="0" xfId="0" applyFont="1" applyFill="1" applyAlignment="1">
      <alignment vertical="center" wrapText="1"/>
    </xf>
    <xf numFmtId="0" fontId="24" fillId="14" borderId="15" xfId="0" applyFont="1" applyFill="1" applyBorder="1" applyAlignment="1">
      <alignment horizontal="left" vertical="center" wrapText="1"/>
    </xf>
    <xf numFmtId="10" fontId="24" fillId="14" borderId="15" xfId="0" applyNumberFormat="1" applyFont="1" applyFill="1" applyBorder="1" applyAlignment="1">
      <alignment horizontal="left" vertical="center" wrapText="1"/>
    </xf>
    <xf numFmtId="0" fontId="25" fillId="10" borderId="15" xfId="0" applyFont="1" applyFill="1" applyBorder="1" applyAlignment="1">
      <alignment horizontal="left" vertical="center" wrapText="1"/>
    </xf>
    <xf numFmtId="1" fontId="8" fillId="0" borderId="0" xfId="0" applyNumberFormat="1" applyFont="1"/>
    <xf numFmtId="1" fontId="6" fillId="0" borderId="0" xfId="2" applyNumberFormat="1" applyFont="1" applyAlignment="1">
      <alignment horizontal="center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1" fontId="7" fillId="9" borderId="2" xfId="0" applyNumberFormat="1" applyFont="1" applyFill="1" applyBorder="1" applyAlignment="1">
      <alignment horizontal="center" vertical="center"/>
    </xf>
    <xf numFmtId="1" fontId="9" fillId="15" borderId="5" xfId="0" applyNumberFormat="1" applyFont="1" applyFill="1" applyBorder="1" applyAlignment="1">
      <alignment horizontal="center" vertical="center" wrapText="1"/>
    </xf>
    <xf numFmtId="168" fontId="7" fillId="9" borderId="2" xfId="0" applyNumberFormat="1" applyFont="1" applyFill="1" applyBorder="1" applyAlignment="1">
      <alignment horizontal="center" vertical="center"/>
    </xf>
    <xf numFmtId="10" fontId="7" fillId="9" borderId="2" xfId="1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vertical="center"/>
    </xf>
    <xf numFmtId="0" fontId="30" fillId="0" borderId="0" xfId="2" applyFont="1"/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11" borderId="0" xfId="0" applyFill="1" applyAlignment="1">
      <alignment wrapText="1"/>
    </xf>
    <xf numFmtId="0" fontId="0" fillId="0" borderId="0" xfId="0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8" fillId="12" borderId="0" xfId="0" applyFont="1" applyFill="1" applyAlignment="1">
      <alignment vertical="center" wrapText="1"/>
    </xf>
    <xf numFmtId="0" fontId="28" fillId="13" borderId="0" xfId="0" applyFont="1" applyFill="1" applyAlignment="1">
      <alignment vertical="center" wrapText="1"/>
    </xf>
    <xf numFmtId="1" fontId="3" fillId="0" borderId="0" xfId="2" applyNumberFormat="1" applyAlignment="1">
      <alignment horizontal="center" vertical="center" wrapText="1"/>
    </xf>
    <xf numFmtId="166" fontId="0" fillId="0" borderId="0" xfId="0" applyNumberFormat="1"/>
    <xf numFmtId="167" fontId="8" fillId="0" borderId="2" xfId="1" applyNumberFormat="1" applyFont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0" fontId="3" fillId="0" borderId="0" xfId="2" applyAlignment="1">
      <alignment horizontal="center" vertical="center" wrapText="1"/>
    </xf>
    <xf numFmtId="168" fontId="7" fillId="3" borderId="2" xfId="0" applyNumberFormat="1" applyFont="1" applyFill="1" applyBorder="1" applyAlignment="1">
      <alignment horizontal="center" vertical="center"/>
    </xf>
    <xf numFmtId="0" fontId="0" fillId="17" borderId="16" xfId="0" applyFill="1" applyBorder="1"/>
    <xf numFmtId="0" fontId="0" fillId="0" borderId="16" xfId="0" applyBorder="1"/>
    <xf numFmtId="0" fontId="0" fillId="17" borderId="17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29" fillId="17" borderId="16" xfId="0" applyFont="1" applyFill="1" applyBorder="1" applyAlignment="1">
      <alignment vertical="center"/>
    </xf>
    <xf numFmtId="0" fontId="29" fillId="17" borderId="17" xfId="0" applyFont="1" applyFill="1" applyBorder="1" applyAlignment="1">
      <alignment horizontal="left" vertical="center"/>
    </xf>
    <xf numFmtId="2" fontId="8" fillId="0" borderId="0" xfId="0" applyNumberFormat="1" applyFont="1"/>
    <xf numFmtId="0" fontId="33" fillId="18" borderId="5" xfId="0" applyFont="1" applyFill="1" applyBorder="1" applyAlignment="1">
      <alignment horizontal="center" vertical="center" wrapText="1"/>
    </xf>
    <xf numFmtId="166" fontId="34" fillId="3" borderId="2" xfId="0" applyNumberFormat="1" applyFont="1" applyFill="1" applyBorder="1" applyAlignment="1">
      <alignment horizontal="center" vertical="center" wrapText="1"/>
    </xf>
    <xf numFmtId="0" fontId="33" fillId="16" borderId="0" xfId="0" applyFont="1" applyFill="1" applyAlignment="1">
      <alignment vertical="center" wrapText="1"/>
    </xf>
    <xf numFmtId="0" fontId="33" fillId="16" borderId="0" xfId="0" applyFont="1" applyFill="1" applyAlignment="1">
      <alignment horizontal="center" vertical="center" wrapText="1"/>
    </xf>
    <xf numFmtId="10" fontId="2" fillId="3" borderId="2" xfId="1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0" fontId="3" fillId="0" borderId="0" xfId="2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 wrapText="1"/>
    </xf>
    <xf numFmtId="0" fontId="29" fillId="11" borderId="0" xfId="0" applyFont="1" applyFill="1" applyAlignment="1">
      <alignment horizontal="left" vertical="center" wrapText="1"/>
    </xf>
    <xf numFmtId="0" fontId="28" fillId="11" borderId="0" xfId="0" applyFont="1" applyFill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28" fillId="11" borderId="0" xfId="0" applyFont="1" applyFill="1" applyAlignment="1">
      <alignment vertical="top" wrapText="1"/>
    </xf>
    <xf numFmtId="0" fontId="32" fillId="0" borderId="0" xfId="0" applyFont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5">
    <cellStyle name="Гиперссылка" xfId="2" builtinId="8"/>
    <cellStyle name="Обычный" xfId="0" builtinId="0"/>
    <cellStyle name="Обычный 2" xfId="3" xr:uid="{00000000-0005-0000-0000-000002000000}"/>
    <cellStyle name="Обычный 3" xfId="4" xr:uid="{00000000-0005-0000-0000-000003000000}"/>
    <cellStyle name="Процентный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</dxfs>
  <tableStyles count="0" defaultTableStyle="TableStyleMedium2" defaultPivotStyle="PivotStyleLight16"/>
  <colors>
    <mruColors>
      <color rgb="FF99FF99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85725</xdr:rowOff>
    </xdr:from>
    <xdr:ext cx="12912090" cy="1091439"/>
    <xdr:pic>
      <xdr:nvPicPr>
        <xdr:cNvPr id="2" name="Рисунок 1">
          <a:extLst>
            <a:ext uri="{FF2B5EF4-FFF2-40B4-BE49-F238E27FC236}">
              <a16:creationId xmlns:a16="http://schemas.microsoft.com/office/drawing/2014/main" id="{E2339183-A966-4A1B-9307-7FAEC9D0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12912090" cy="109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PI"/>
      <sheetName val="#REF"/>
      <sheetName val="Electro"/>
      <sheetName val="Home"/>
      <sheetName val="DATA MAIN"/>
      <sheetName val="тех. лист "/>
      <sheetName val="Table1"/>
      <sheetName val="FintechPLRows"/>
      <sheetName val="DATA base"/>
      <sheetName val="Links in Расшифровка выручки по"/>
      <sheetName val="Links in Выручка (5).xlsb"/>
      <sheetName val="workings"/>
      <sheetName val="Лист1"/>
      <sheetName val="Links in Свод по ЗП (14)(AutoRe"/>
      <sheetName val="ГН"/>
      <sheetName val="ГП"/>
      <sheetName val="ИУ Fashion"/>
      <sheetName val="реестр иу wb fmcg"/>
      <sheetName val="Отдел по работе с ТП"/>
      <sheetName val="РФ"/>
      <sheetName val="Таблица1"/>
      <sheetName val="Свойства"/>
      <sheetName val="Links in Выплаты на основе акци"/>
      <sheetName val="Links in BS.240.10000 Обязатель"/>
      <sheetName val="Links in PL.140.10000 Себестоим"/>
      <sheetName val="Links in Операционные расходы.x"/>
      <sheetName val="Links in Себестоимость.xlsb"/>
      <sheetName val="Tax invoice deductable Apr25"/>
      <sheetName val="Аналитика (склады)"/>
      <sheetName val="Список Base и CIS TM намазать"/>
      <sheetName val="Сотрудники"/>
    </sheetNames>
    <sheetDataSet>
      <sheetData sheetId="0" refreshError="1">
        <row r="1">
          <cell r="A1" t="str">
            <v>Number Format Report for: C:\Users\smotin\Documents\Projects\01 Rassrochka Model\Limit_2028_v1.xlsb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Sheet</v>
          </cell>
        </row>
      </sheetData>
      <sheetData sheetId="11">
        <row r="1">
          <cell r="A1" t="str">
            <v>Sheet</v>
          </cell>
        </row>
      </sheetData>
      <sheetData sheetId="12" refreshError="1"/>
      <sheetData sheetId="13" refreshError="1"/>
      <sheetData sheetId="14">
        <row r="1">
          <cell r="A1" t="str">
            <v>Sheet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A1" t="str">
            <v>Sheet</v>
          </cell>
        </row>
      </sheetData>
      <sheetData sheetId="24">
        <row r="1">
          <cell r="A1" t="str">
            <v>Sheet</v>
          </cell>
        </row>
      </sheetData>
      <sheetData sheetId="25">
        <row r="1">
          <cell r="A1" t="str">
            <v>Sheet</v>
          </cell>
        </row>
      </sheetData>
      <sheetData sheetId="26">
        <row r="1">
          <cell r="A1" t="str">
            <v>Sheet</v>
          </cell>
        </row>
      </sheetData>
      <sheetData sheetId="27">
        <row r="1">
          <cell r="A1" t="str">
            <v>Sheet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persons/person.xml><?xml version="1.0" encoding="utf-8"?>
<sc:personList xmlns:sc="http://schemas.microsoft.com/office/spreadsheetml/2018/threadedcomments">
  <sc:person displayName="Мария Малицкая" id="{3B56EE18-243E-4110-8E87-19A3B93406BC}" providerId="None"/>
  <sc:person displayName="katana" id="{483DAC5E-B36F-4E55-A0F6-E85197989808}" providerId="None"/>
</sc: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K2:N12" totalsRowShown="0" headerRowDxfId="5" dataDxfId="4">
  <autoFilter ref="K2:N12" xr:uid="{00000000-0009-0000-0100-000001000000}"/>
  <tableColumns count="4">
    <tableColumn id="1" xr3:uid="{00000000-0010-0000-0000-000001000000}" name="Ключ" dataDxfId="3">
      <calculatedColumnFormula>L3&amp;M3</calculatedColumnFormula>
    </tableColumn>
    <tableColumn id="2" xr3:uid="{00000000-0010-0000-0000-000002000000}" name="Схема" dataDxfId="2"/>
    <tableColumn id="3" xr3:uid="{00000000-0010-0000-0000-000003000000}" name="Литры" dataDxfId="1"/>
    <tableColumn id="4" xr3:uid="{00000000-0010-0000-0000-000004000000}" name="Стоимость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Tfng" typeface="Ebrima"/>
      </a:majorFont>
      <a:minorFont>
        <a:latin typeface="Calibri" panose="020F0502020204030204"/>
        <a:ea typeface=""/>
        <a:cs typeface="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sc:ThreadedComments xmlns:sc="http://schemas.microsoft.com/office/spreadsheetml/2018/threadedcomments">
  <sc:threadedComment ref="G2" personId="{3B56EE18-243E-4110-8E87-19A3B93406BC}" id="{53C7C169-EA9D-4C9F-AF5A-5A7CE3A94DD9}">
    <sc:text>Например, комиссия байера</sc:text>
  </sc:threadedComment>
  <sc:threadedComment ref="J2" personId="{3B56EE18-243E-4110-8E87-19A3B93406BC}" id="{95FDC98C-1559-4877-93D7-7C8A399CCD3F}">
    <sc:text>Например, стоимость упаковки, маркировки, подарочка и пр.</sc:text>
  </sc:threadedComment>
  <sc:threadedComment ref="K2" personId="{3B56EE18-243E-4110-8E87-19A3B93406BC}" id="{A2034131-0B83-4B30-B2C2-C3FD06F0D9B5}">
    <sc:text>Например, логистика (от вашего слада/фф до склада/СЦ маркетплейса)
</sc:text>
  </sc:threadedComment>
  <sc:threadedComment ref="Q2" personId="{3B56EE18-243E-4110-8E87-19A3B93406BC}" id="{053AD380-B7ED-4C36-8AE0-D44188428A5A}">
    <sc:text>В среднем 1,5%</sc:text>
  </sc:threadedComment>
  <sc:threadedComment ref="U2" personId="{3B56EE18-243E-4110-8E87-19A3B93406BC}" id="{84AE1D00-F074-4BEB-B28A-E2FE9AA1C650}">
    <sc:text>Если не можете спрогнозировать индекс, выбирайте значение 65-74 - тогда индекс не влияет на стоимость логистики</sc:text>
  </sc:threadedComment>
  <sc:threadedComment ref="Z2" personId="{483DAC5E-B36F-4E55-A0F6-E85197989808}" id="{046EC51F-954D-425E-87C1-21B5A97EC908}">
    <sc:text>Вместо бывшей "Последней мили
(от СЦ до ПВЗ)"
Доставка до места выдачи — это доставка заказа курьером в кластере назначения до точки выдачи клиенту. Местом выдачи может являться пункт выдачи заказов, постамат, отделение почты или иной пункт.
При доставке в РФ — плата зависит от итогового вознаграждения партнёра-исполнителя, который оказал услугу, но не превышает 25 рублей. При доставке за рубеж — плата включена в стоимость логистики. Вознаграждение Ozon за привлечение партнёров включено в вознаграждение за продажу. При возвратах, невыкупах и отменах удерживаем расходы на услугу.</sc:text>
  </sc:threadedComment>
  <sc:threadedComment ref="AQ2" personId="{3B56EE18-243E-4110-8E87-19A3B93406BC}" id="{1FDE3DB2-85C8-41E4-98D1-239325D2F7D8}">
    <sc:text>Считается как 
Прибыль/Цену
Является долей вашей прибыли в вашей выручке</sc:text>
  </sc:threadedComment>
  <sc:threadedComment ref="AR2" personId="{3B56EE18-243E-4110-8E87-19A3B93406BC}" id="{49125AE8-2DFB-4FAE-8544-D1DDF8D57700}">
    <sc:text>Считается как 
Прибыль/Себестоимость
Если ваша рентабельность 130%, значит на каждый вложенный рубль вы вернули 2.3 руб. (заработали 1.3 руб.)</sc:text>
  </sc:threadedComment>
</sc:ThreadedComments>
</file>

<file path=xl/threadedComments/threadedComment2.xml><?xml version="1.0" encoding="utf-8"?>
<sc:ThreadedComments xmlns:sc="http://schemas.microsoft.com/office/spreadsheetml/2018/threadedcomments">
  <sc:threadedComment ref="G6" personId="{3B56EE18-243E-4110-8E87-19A3B93406BC}" id="{07591035-C04A-42F5-B35E-423223E56720}">
    <sc:text>Например, комиссия байера</sc:text>
  </sc:threadedComment>
  <sc:threadedComment ref="J6" personId="{3B56EE18-243E-4110-8E87-19A3B93406BC}" id="{53EAC705-7704-4F60-AB15-1238B821F60B}">
    <sc:text>Например, стоимость упаковки, маркировки, подарочка и пр.</sc:text>
  </sc:threadedComment>
  <sc:threadedComment ref="K6" personId="{3B56EE18-243E-4110-8E87-19A3B93406BC}" id="{0F753F26-FA34-4596-811A-F3EDE7D98396}">
    <sc:text>Например, логистика (от вашего слада/фф до склада/СЦ маркетплейса)
</sc:text>
  </sc:threadedComment>
  <sc:threadedComment ref="Q6" personId="{3B56EE18-243E-4110-8E87-19A3B93406BC}" id="{5C13658A-581E-412C-8B30-BDB3E996FCF9}">
    <sc:text>В среднем 1,5%</sc:text>
  </sc:threadedComment>
  <sc:threadedComment ref="V6" personId="{3B56EE18-243E-4110-8E87-19A3B93406BC}" id="{F73D18BC-09B5-48E3-83C1-A5652327EC13}">
    <sc:text>Если не можете спрогнозировать индекс, выбирайте значение 65-74 - тогда индекс не влияет на стоимость логистики</sc:text>
  </sc:threadedComment>
  <sc:threadedComment ref="AA6" personId="{483DAC5E-B36F-4E55-A0F6-E85197989808}" id="{A3994ACC-C836-477E-A534-95B526F13C7B}">
    <sc:text>Вместо бывшей "Последней мили
(от СЦ до ПВЗ)"
Доставка до места выдачи — это доставка заказа курьером в кластере назначения до точки выдачи клиенту. Местом выдачи может являться пункт выдачи заказов, постамат, отделение почты или иной пункт.
При доставке в РФ — плата зависит от итогового вознаграждения партнёра-исполнителя, который оказал услугу, но не превышает 25 рублей. При доставке за рубеж — плата включена в стоимость логистики. Вознаграждение Ozon за привлечение партнёров включено в вознаграждение за продажу. При возвратах, невыкупах и отменах удерживаем расходы на услугу.</sc:text>
  </sc:threadedComment>
  <sc:threadedComment ref="AR6" personId="{3B56EE18-243E-4110-8E87-19A3B93406BC}" id="{7A29DBD2-F743-4646-A575-6C3C5F00E99E}">
    <sc:text>Считается как 
Прибыль/Цену
Является долей вашей прибыли в вашей выручке</sc:text>
  </sc:threadedComment>
  <sc:threadedComment ref="AS6" personId="{3B56EE18-243E-4110-8E87-19A3B93406BC}" id="{0A1AC8DF-1E3E-42A8-9041-53409568BF56}">
    <sc:text>Считается как 
Прибыль/Себестоимость
Если ваша рентабельность 130%, значит на каждый вложенный рубль вы вернули 2.3 руб. (заработали 1.3 руб.)</sc:text>
  </sc:threadedComment>
</sc: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.me/FinancialReports_MP_Malitskaya/25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ller-edu.ozon.ru/commissions-tariffs/commissions-tariffs-ozon/rashody-na-otmenu-vozvraty" TargetMode="External"/><Relationship Id="rId6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39"/>
  <sheetViews>
    <sheetView zoomScale="65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L9" sqref="L9"/>
    </sheetView>
  </sheetViews>
  <sheetFormatPr defaultColWidth="10.6640625" defaultRowHeight="14.4" x14ac:dyDescent="0.3"/>
  <cols>
    <col min="1" max="1" width="34.33203125" style="76" customWidth="1"/>
    <col min="2" max="2" width="32.33203125" customWidth="1"/>
    <col min="3" max="3" width="26.33203125" customWidth="1"/>
    <col min="4" max="4" width="12.6640625" customWidth="1"/>
    <col min="5" max="5" width="18.6640625" customWidth="1"/>
    <col min="6" max="9" width="13.33203125" customWidth="1"/>
    <col min="10" max="10" width="16.88671875" customWidth="1"/>
    <col min="11" max="14" width="13.33203125" customWidth="1"/>
    <col min="15" max="15" width="16.88671875" customWidth="1"/>
    <col min="16" max="16" width="15.109375" customWidth="1"/>
    <col min="17" max="17" width="18.6640625" customWidth="1"/>
    <col min="18" max="18" width="15.88671875" customWidth="1"/>
    <col min="19" max="20" width="13.33203125" customWidth="1"/>
    <col min="21" max="102" width="10.6640625" style="45"/>
  </cols>
  <sheetData>
    <row r="1" spans="1:102" s="76" customFormat="1" ht="37.200000000000003" customHeight="1" x14ac:dyDescent="0.3">
      <c r="A1" s="71" t="s">
        <v>53</v>
      </c>
      <c r="B1" s="72" t="s">
        <v>54</v>
      </c>
      <c r="C1" s="73" t="s">
        <v>55</v>
      </c>
      <c r="D1" s="73" t="s">
        <v>56</v>
      </c>
      <c r="E1" s="73" t="s">
        <v>57</v>
      </c>
      <c r="F1" s="73" t="s">
        <v>58</v>
      </c>
      <c r="G1" s="73" t="s">
        <v>59</v>
      </c>
      <c r="H1" s="73" t="s">
        <v>60</v>
      </c>
      <c r="I1" s="73" t="s">
        <v>61</v>
      </c>
      <c r="J1" s="73" t="s">
        <v>62</v>
      </c>
      <c r="K1" s="73" t="s">
        <v>63</v>
      </c>
      <c r="L1" s="73" t="s">
        <v>64</v>
      </c>
      <c r="M1" s="73" t="s">
        <v>65</v>
      </c>
      <c r="N1" s="73" t="s">
        <v>66</v>
      </c>
      <c r="O1" s="73" t="s">
        <v>67</v>
      </c>
      <c r="P1" s="73" t="s">
        <v>68</v>
      </c>
      <c r="Q1" s="73" t="s">
        <v>69</v>
      </c>
      <c r="R1" s="73" t="s">
        <v>70</v>
      </c>
      <c r="S1" s="73" t="s">
        <v>71</v>
      </c>
      <c r="T1" s="74" t="s">
        <v>72</v>
      </c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</row>
    <row r="2" spans="1:102" ht="37.200000000000003" customHeight="1" x14ac:dyDescent="0.3">
      <c r="A2" s="77" t="s">
        <v>54</v>
      </c>
      <c r="B2" s="46">
        <v>28</v>
      </c>
      <c r="C2" s="47">
        <v>45</v>
      </c>
      <c r="D2" s="47">
        <v>45</v>
      </c>
      <c r="E2" s="48">
        <v>60</v>
      </c>
      <c r="F2" s="48">
        <v>60</v>
      </c>
      <c r="G2" s="47">
        <v>45</v>
      </c>
      <c r="H2" s="48">
        <v>60</v>
      </c>
      <c r="I2" s="48">
        <v>60</v>
      </c>
      <c r="J2" s="48">
        <v>60</v>
      </c>
      <c r="K2" s="48">
        <v>60</v>
      </c>
      <c r="L2" s="48">
        <v>75</v>
      </c>
      <c r="M2" s="48">
        <v>90</v>
      </c>
      <c r="N2" s="48">
        <v>90</v>
      </c>
      <c r="O2" s="48">
        <v>105</v>
      </c>
      <c r="P2" s="48">
        <v>135</v>
      </c>
      <c r="Q2" s="48">
        <v>150</v>
      </c>
      <c r="R2" s="48">
        <v>60</v>
      </c>
      <c r="S2" s="47">
        <v>45</v>
      </c>
      <c r="T2" s="49">
        <v>90</v>
      </c>
    </row>
    <row r="3" spans="1:102" ht="37.200000000000003" customHeight="1" x14ac:dyDescent="0.3">
      <c r="A3" s="77" t="s">
        <v>55</v>
      </c>
      <c r="B3" s="47">
        <v>45</v>
      </c>
      <c r="C3" s="46">
        <v>28</v>
      </c>
      <c r="D3" s="48">
        <v>60</v>
      </c>
      <c r="E3" s="48">
        <v>75</v>
      </c>
      <c r="F3" s="48">
        <v>75</v>
      </c>
      <c r="G3" s="48">
        <v>60</v>
      </c>
      <c r="H3" s="48">
        <v>75</v>
      </c>
      <c r="I3" s="48">
        <v>75</v>
      </c>
      <c r="J3" s="48">
        <v>75</v>
      </c>
      <c r="K3" s="48">
        <v>75</v>
      </c>
      <c r="L3" s="48">
        <v>90</v>
      </c>
      <c r="M3" s="48">
        <v>90</v>
      </c>
      <c r="N3" s="48">
        <v>105</v>
      </c>
      <c r="O3" s="48">
        <v>120</v>
      </c>
      <c r="P3" s="48">
        <v>150</v>
      </c>
      <c r="Q3" s="48">
        <v>150</v>
      </c>
      <c r="R3" s="48">
        <v>60</v>
      </c>
      <c r="S3" s="47">
        <v>45</v>
      </c>
      <c r="T3" s="49">
        <v>120</v>
      </c>
    </row>
    <row r="4" spans="1:102" ht="37.200000000000003" customHeight="1" x14ac:dyDescent="0.3">
      <c r="A4" s="77" t="s">
        <v>56</v>
      </c>
      <c r="B4" s="47">
        <v>45</v>
      </c>
      <c r="C4" s="48">
        <v>60</v>
      </c>
      <c r="D4" s="46">
        <v>28</v>
      </c>
      <c r="E4" s="47">
        <v>45</v>
      </c>
      <c r="F4" s="47">
        <v>45</v>
      </c>
      <c r="G4" s="47">
        <v>45</v>
      </c>
      <c r="H4" s="47">
        <v>45</v>
      </c>
      <c r="I4" s="48">
        <v>60</v>
      </c>
      <c r="J4" s="47">
        <v>45</v>
      </c>
      <c r="K4" s="48">
        <v>60</v>
      </c>
      <c r="L4" s="48">
        <v>75</v>
      </c>
      <c r="M4" s="48">
        <v>90</v>
      </c>
      <c r="N4" s="48">
        <v>90</v>
      </c>
      <c r="O4" s="48">
        <v>105</v>
      </c>
      <c r="P4" s="48">
        <v>135</v>
      </c>
      <c r="Q4" s="48">
        <v>150</v>
      </c>
      <c r="R4" s="48">
        <v>60</v>
      </c>
      <c r="S4" s="47">
        <v>45</v>
      </c>
      <c r="T4" s="49">
        <v>90</v>
      </c>
    </row>
    <row r="5" spans="1:102" ht="37.200000000000003" customHeight="1" x14ac:dyDescent="0.3">
      <c r="A5" s="77" t="s">
        <v>73</v>
      </c>
      <c r="B5" s="48">
        <v>60</v>
      </c>
      <c r="C5" s="48">
        <v>75</v>
      </c>
      <c r="D5" s="47">
        <v>45</v>
      </c>
      <c r="E5" s="46">
        <v>28</v>
      </c>
      <c r="F5" s="47">
        <v>45</v>
      </c>
      <c r="G5" s="48">
        <v>60</v>
      </c>
      <c r="H5" s="48">
        <v>60</v>
      </c>
      <c r="I5" s="48">
        <v>75</v>
      </c>
      <c r="J5" s="47">
        <v>45</v>
      </c>
      <c r="K5" s="47">
        <v>45</v>
      </c>
      <c r="L5" s="48">
        <v>75</v>
      </c>
      <c r="M5" s="48">
        <v>90</v>
      </c>
      <c r="N5" s="48">
        <v>105</v>
      </c>
      <c r="O5" s="48">
        <v>120</v>
      </c>
      <c r="P5" s="48">
        <v>135</v>
      </c>
      <c r="Q5" s="48">
        <v>150</v>
      </c>
      <c r="R5" s="48">
        <v>75</v>
      </c>
      <c r="S5" s="48">
        <v>60</v>
      </c>
      <c r="T5" s="49">
        <v>105</v>
      </c>
    </row>
    <row r="6" spans="1:102" ht="37.200000000000003" customHeight="1" x14ac:dyDescent="0.3">
      <c r="A6" s="77" t="s">
        <v>58</v>
      </c>
      <c r="B6" s="48">
        <v>60</v>
      </c>
      <c r="C6" s="48">
        <v>75</v>
      </c>
      <c r="D6" s="47">
        <v>45</v>
      </c>
      <c r="E6" s="47">
        <v>45</v>
      </c>
      <c r="F6" s="46">
        <v>28</v>
      </c>
      <c r="G6" s="48">
        <v>60</v>
      </c>
      <c r="H6" s="47">
        <v>45</v>
      </c>
      <c r="I6" s="48">
        <v>60</v>
      </c>
      <c r="J6" s="47">
        <v>45</v>
      </c>
      <c r="K6" s="47">
        <v>45</v>
      </c>
      <c r="L6" s="48">
        <v>75</v>
      </c>
      <c r="M6" s="48">
        <v>90</v>
      </c>
      <c r="N6" s="48">
        <v>90</v>
      </c>
      <c r="O6" s="48">
        <v>105</v>
      </c>
      <c r="P6" s="48">
        <v>120</v>
      </c>
      <c r="Q6" s="48">
        <v>150</v>
      </c>
      <c r="R6" s="48">
        <v>75</v>
      </c>
      <c r="S6" s="48">
        <v>60</v>
      </c>
      <c r="T6" s="49">
        <v>90</v>
      </c>
    </row>
    <row r="7" spans="1:102" ht="37.200000000000003" customHeight="1" x14ac:dyDescent="0.3">
      <c r="A7" s="77" t="s">
        <v>59</v>
      </c>
      <c r="B7" s="47">
        <v>45</v>
      </c>
      <c r="C7" s="48">
        <v>60</v>
      </c>
      <c r="D7" s="47">
        <v>45</v>
      </c>
      <c r="E7" s="48">
        <v>60</v>
      </c>
      <c r="F7" s="48">
        <v>60</v>
      </c>
      <c r="G7" s="46">
        <v>28</v>
      </c>
      <c r="H7" s="47">
        <v>45</v>
      </c>
      <c r="I7" s="47">
        <v>45</v>
      </c>
      <c r="J7" s="48">
        <v>75</v>
      </c>
      <c r="K7" s="48">
        <v>75</v>
      </c>
      <c r="L7" s="48">
        <v>60</v>
      </c>
      <c r="M7" s="48">
        <v>75</v>
      </c>
      <c r="N7" s="48">
        <v>75</v>
      </c>
      <c r="O7" s="48">
        <v>90</v>
      </c>
      <c r="P7" s="48">
        <v>120</v>
      </c>
      <c r="Q7" s="48">
        <v>150</v>
      </c>
      <c r="R7" s="48">
        <v>75</v>
      </c>
      <c r="S7" s="48">
        <v>60</v>
      </c>
      <c r="T7" s="49">
        <v>90</v>
      </c>
    </row>
    <row r="8" spans="1:102" ht="37.200000000000003" customHeight="1" x14ac:dyDescent="0.3">
      <c r="A8" s="77" t="s">
        <v>60</v>
      </c>
      <c r="B8" s="48">
        <v>60</v>
      </c>
      <c r="C8" s="48">
        <v>75</v>
      </c>
      <c r="D8" s="47">
        <v>45</v>
      </c>
      <c r="E8" s="48">
        <v>60</v>
      </c>
      <c r="F8" s="47">
        <v>45</v>
      </c>
      <c r="G8" s="47">
        <v>45</v>
      </c>
      <c r="H8" s="46">
        <v>28</v>
      </c>
      <c r="I8" s="47">
        <v>45</v>
      </c>
      <c r="J8" s="48">
        <v>60</v>
      </c>
      <c r="K8" s="48">
        <v>60</v>
      </c>
      <c r="L8" s="48">
        <v>60</v>
      </c>
      <c r="M8" s="48">
        <v>75</v>
      </c>
      <c r="N8" s="48">
        <v>75</v>
      </c>
      <c r="O8" s="48">
        <v>90</v>
      </c>
      <c r="P8" s="48">
        <v>120</v>
      </c>
      <c r="Q8" s="48">
        <v>150</v>
      </c>
      <c r="R8" s="48">
        <v>75</v>
      </c>
      <c r="S8" s="48">
        <v>60</v>
      </c>
      <c r="T8" s="49">
        <v>75</v>
      </c>
    </row>
    <row r="9" spans="1:102" ht="37.200000000000003" customHeight="1" x14ac:dyDescent="0.3">
      <c r="A9" s="77" t="s">
        <v>61</v>
      </c>
      <c r="B9" s="48">
        <v>60</v>
      </c>
      <c r="C9" s="48">
        <v>75</v>
      </c>
      <c r="D9" s="48">
        <v>60</v>
      </c>
      <c r="E9" s="48">
        <v>75</v>
      </c>
      <c r="F9" s="48">
        <v>60</v>
      </c>
      <c r="G9" s="47">
        <v>45</v>
      </c>
      <c r="H9" s="47">
        <v>45</v>
      </c>
      <c r="I9" s="46">
        <v>28</v>
      </c>
      <c r="J9" s="48">
        <v>75</v>
      </c>
      <c r="K9" s="48">
        <v>75</v>
      </c>
      <c r="L9" s="47">
        <v>45</v>
      </c>
      <c r="M9" s="48">
        <v>60</v>
      </c>
      <c r="N9" s="48">
        <v>60</v>
      </c>
      <c r="O9" s="48">
        <v>75</v>
      </c>
      <c r="P9" s="48">
        <v>105</v>
      </c>
      <c r="Q9" s="48">
        <v>150</v>
      </c>
      <c r="R9" s="48">
        <v>90</v>
      </c>
      <c r="S9" s="48">
        <v>75</v>
      </c>
      <c r="T9" s="49">
        <v>75</v>
      </c>
    </row>
    <row r="10" spans="1:102" ht="37.200000000000003" customHeight="1" x14ac:dyDescent="0.3">
      <c r="A10" s="77" t="s">
        <v>62</v>
      </c>
      <c r="B10" s="48">
        <v>60</v>
      </c>
      <c r="C10" s="48">
        <v>75</v>
      </c>
      <c r="D10" s="47">
        <v>45</v>
      </c>
      <c r="E10" s="47">
        <v>45</v>
      </c>
      <c r="F10" s="47">
        <v>45</v>
      </c>
      <c r="G10" s="48">
        <v>75</v>
      </c>
      <c r="H10" s="48">
        <v>60</v>
      </c>
      <c r="I10" s="48">
        <v>75</v>
      </c>
      <c r="J10" s="46">
        <v>28</v>
      </c>
      <c r="K10" s="47">
        <v>45</v>
      </c>
      <c r="L10" s="48">
        <v>90</v>
      </c>
      <c r="M10" s="48">
        <v>105</v>
      </c>
      <c r="N10" s="48">
        <v>105</v>
      </c>
      <c r="O10" s="48">
        <v>120</v>
      </c>
      <c r="P10" s="48">
        <v>150</v>
      </c>
      <c r="Q10" s="48">
        <v>150</v>
      </c>
      <c r="R10" s="48">
        <v>90</v>
      </c>
      <c r="S10" s="48">
        <v>75</v>
      </c>
      <c r="T10" s="49">
        <v>105</v>
      </c>
    </row>
    <row r="11" spans="1:102" ht="37.200000000000003" customHeight="1" x14ac:dyDescent="0.3">
      <c r="A11" s="77" t="s">
        <v>63</v>
      </c>
      <c r="B11" s="48">
        <v>60</v>
      </c>
      <c r="C11" s="48">
        <v>75</v>
      </c>
      <c r="D11" s="48">
        <v>60</v>
      </c>
      <c r="E11" s="47">
        <v>45</v>
      </c>
      <c r="F11" s="47">
        <v>45</v>
      </c>
      <c r="G11" s="48">
        <v>75</v>
      </c>
      <c r="H11" s="48">
        <v>60</v>
      </c>
      <c r="I11" s="48">
        <v>75</v>
      </c>
      <c r="J11" s="47">
        <v>45</v>
      </c>
      <c r="K11" s="46">
        <v>28</v>
      </c>
      <c r="L11" s="48">
        <v>90</v>
      </c>
      <c r="M11" s="48">
        <v>90</v>
      </c>
      <c r="N11" s="48">
        <v>105</v>
      </c>
      <c r="O11" s="48">
        <v>120</v>
      </c>
      <c r="P11" s="48">
        <v>135</v>
      </c>
      <c r="Q11" s="48">
        <v>150</v>
      </c>
      <c r="R11" s="48">
        <v>90</v>
      </c>
      <c r="S11" s="48">
        <v>75</v>
      </c>
      <c r="T11" s="49">
        <v>105</v>
      </c>
    </row>
    <row r="12" spans="1:102" ht="37.200000000000003" customHeight="1" x14ac:dyDescent="0.3">
      <c r="A12" s="77" t="s">
        <v>64</v>
      </c>
      <c r="B12" s="48">
        <v>75</v>
      </c>
      <c r="C12" s="48">
        <v>90</v>
      </c>
      <c r="D12" s="48">
        <v>75</v>
      </c>
      <c r="E12" s="48">
        <v>75</v>
      </c>
      <c r="F12" s="48">
        <v>75</v>
      </c>
      <c r="G12" s="48">
        <v>60</v>
      </c>
      <c r="H12" s="48">
        <v>60</v>
      </c>
      <c r="I12" s="47">
        <v>45</v>
      </c>
      <c r="J12" s="48">
        <v>90</v>
      </c>
      <c r="K12" s="48">
        <v>90</v>
      </c>
      <c r="L12" s="46">
        <v>28</v>
      </c>
      <c r="M12" s="47">
        <v>45</v>
      </c>
      <c r="N12" s="48">
        <v>60</v>
      </c>
      <c r="O12" s="48">
        <v>75</v>
      </c>
      <c r="P12" s="48">
        <v>90</v>
      </c>
      <c r="Q12" s="48">
        <v>150</v>
      </c>
      <c r="R12" s="48">
        <v>105</v>
      </c>
      <c r="S12" s="48">
        <v>90</v>
      </c>
      <c r="T12" s="49">
        <v>75</v>
      </c>
    </row>
    <row r="13" spans="1:102" ht="37.200000000000003" customHeight="1" x14ac:dyDescent="0.3">
      <c r="A13" s="77" t="s">
        <v>65</v>
      </c>
      <c r="B13" s="48">
        <v>90</v>
      </c>
      <c r="C13" s="48">
        <v>90</v>
      </c>
      <c r="D13" s="48">
        <v>90</v>
      </c>
      <c r="E13" s="48">
        <v>90</v>
      </c>
      <c r="F13" s="48">
        <v>90</v>
      </c>
      <c r="G13" s="48">
        <v>75</v>
      </c>
      <c r="H13" s="48">
        <v>75</v>
      </c>
      <c r="I13" s="48">
        <v>60</v>
      </c>
      <c r="J13" s="48">
        <v>105</v>
      </c>
      <c r="K13" s="48">
        <v>90</v>
      </c>
      <c r="L13" s="47">
        <v>45</v>
      </c>
      <c r="M13" s="46">
        <v>28</v>
      </c>
      <c r="N13" s="47">
        <v>45</v>
      </c>
      <c r="O13" s="48">
        <v>60</v>
      </c>
      <c r="P13" s="48">
        <v>90</v>
      </c>
      <c r="Q13" s="48">
        <v>150</v>
      </c>
      <c r="R13" s="48">
        <v>120</v>
      </c>
      <c r="S13" s="48">
        <v>90</v>
      </c>
      <c r="T13" s="49">
        <v>75</v>
      </c>
    </row>
    <row r="14" spans="1:102" ht="37.200000000000003" customHeight="1" x14ac:dyDescent="0.3">
      <c r="A14" s="77" t="s">
        <v>66</v>
      </c>
      <c r="B14" s="48">
        <v>90</v>
      </c>
      <c r="C14" s="48">
        <v>105</v>
      </c>
      <c r="D14" s="48">
        <v>90</v>
      </c>
      <c r="E14" s="48">
        <v>105</v>
      </c>
      <c r="F14" s="48">
        <v>90</v>
      </c>
      <c r="G14" s="48">
        <v>75</v>
      </c>
      <c r="H14" s="48">
        <v>75</v>
      </c>
      <c r="I14" s="48">
        <v>60</v>
      </c>
      <c r="J14" s="48">
        <v>105</v>
      </c>
      <c r="K14" s="48">
        <v>105</v>
      </c>
      <c r="L14" s="48">
        <v>60</v>
      </c>
      <c r="M14" s="47">
        <v>45</v>
      </c>
      <c r="N14" s="46">
        <v>28</v>
      </c>
      <c r="O14" s="47">
        <v>45</v>
      </c>
      <c r="P14" s="48">
        <v>75</v>
      </c>
      <c r="Q14" s="48">
        <v>150</v>
      </c>
      <c r="R14" s="48">
        <v>120</v>
      </c>
      <c r="S14" s="48">
        <v>105</v>
      </c>
      <c r="T14" s="50">
        <v>60</v>
      </c>
    </row>
    <row r="15" spans="1:102" ht="37.200000000000003" customHeight="1" x14ac:dyDescent="0.3">
      <c r="A15" s="77" t="s">
        <v>67</v>
      </c>
      <c r="B15" s="48">
        <v>105</v>
      </c>
      <c r="C15" s="48">
        <v>120</v>
      </c>
      <c r="D15" s="48">
        <v>105</v>
      </c>
      <c r="E15" s="48">
        <v>120</v>
      </c>
      <c r="F15" s="48">
        <v>105</v>
      </c>
      <c r="G15" s="48">
        <v>90</v>
      </c>
      <c r="H15" s="48">
        <v>90</v>
      </c>
      <c r="I15" s="48">
        <v>75</v>
      </c>
      <c r="J15" s="48">
        <v>120</v>
      </c>
      <c r="K15" s="48">
        <v>120</v>
      </c>
      <c r="L15" s="48">
        <v>75</v>
      </c>
      <c r="M15" s="48">
        <v>60</v>
      </c>
      <c r="N15" s="47">
        <v>45</v>
      </c>
      <c r="O15" s="46">
        <v>28</v>
      </c>
      <c r="P15" s="47">
        <v>45</v>
      </c>
      <c r="Q15" s="48">
        <v>150</v>
      </c>
      <c r="R15" s="48">
        <v>135</v>
      </c>
      <c r="S15" s="48">
        <v>120</v>
      </c>
      <c r="T15" s="49">
        <v>75</v>
      </c>
    </row>
    <row r="16" spans="1:102" ht="37.200000000000003" customHeight="1" x14ac:dyDescent="0.3">
      <c r="A16" s="77" t="s">
        <v>68</v>
      </c>
      <c r="B16" s="48">
        <v>135</v>
      </c>
      <c r="C16" s="48">
        <v>150</v>
      </c>
      <c r="D16" s="48">
        <v>135</v>
      </c>
      <c r="E16" s="48">
        <v>135</v>
      </c>
      <c r="F16" s="48">
        <v>120</v>
      </c>
      <c r="G16" s="48">
        <v>120</v>
      </c>
      <c r="H16" s="48">
        <v>120</v>
      </c>
      <c r="I16" s="48">
        <v>105</v>
      </c>
      <c r="J16" s="48">
        <v>150</v>
      </c>
      <c r="K16" s="48">
        <v>135</v>
      </c>
      <c r="L16" s="48">
        <v>90</v>
      </c>
      <c r="M16" s="48">
        <v>90</v>
      </c>
      <c r="N16" s="48">
        <v>75</v>
      </c>
      <c r="O16" s="47">
        <v>45</v>
      </c>
      <c r="P16" s="46">
        <v>28</v>
      </c>
      <c r="Q16" s="48">
        <v>120</v>
      </c>
      <c r="R16" s="48">
        <v>150</v>
      </c>
      <c r="S16" s="48">
        <v>150</v>
      </c>
      <c r="T16" s="49">
        <v>90</v>
      </c>
    </row>
    <row r="17" spans="1:20" ht="37.200000000000003" customHeight="1" x14ac:dyDescent="0.3">
      <c r="A17" s="77" t="s">
        <v>69</v>
      </c>
      <c r="B17" s="48">
        <v>150</v>
      </c>
      <c r="C17" s="48">
        <v>150</v>
      </c>
      <c r="D17" s="48">
        <v>150</v>
      </c>
      <c r="E17" s="48">
        <v>150</v>
      </c>
      <c r="F17" s="48">
        <v>150</v>
      </c>
      <c r="G17" s="48">
        <v>150</v>
      </c>
      <c r="H17" s="48">
        <v>150</v>
      </c>
      <c r="I17" s="48">
        <v>150</v>
      </c>
      <c r="J17" s="48">
        <v>150</v>
      </c>
      <c r="K17" s="48">
        <v>150</v>
      </c>
      <c r="L17" s="48">
        <v>150</v>
      </c>
      <c r="M17" s="48">
        <v>150</v>
      </c>
      <c r="N17" s="48">
        <v>150</v>
      </c>
      <c r="O17" s="48">
        <v>150</v>
      </c>
      <c r="P17" s="48">
        <v>120</v>
      </c>
      <c r="Q17" s="46">
        <v>28</v>
      </c>
      <c r="R17" s="48">
        <v>150</v>
      </c>
      <c r="S17" s="48">
        <v>150</v>
      </c>
      <c r="T17" s="49">
        <v>150</v>
      </c>
    </row>
    <row r="18" spans="1:20" ht="37.200000000000003" customHeight="1" x14ac:dyDescent="0.3">
      <c r="A18" s="77" t="s">
        <v>70</v>
      </c>
      <c r="B18" s="48">
        <v>60</v>
      </c>
      <c r="C18" s="48">
        <v>60</v>
      </c>
      <c r="D18" s="48">
        <v>60</v>
      </c>
      <c r="E18" s="48">
        <v>75</v>
      </c>
      <c r="F18" s="48">
        <v>75</v>
      </c>
      <c r="G18" s="48">
        <v>75</v>
      </c>
      <c r="H18" s="48">
        <v>75</v>
      </c>
      <c r="I18" s="48">
        <v>90</v>
      </c>
      <c r="J18" s="48">
        <v>90</v>
      </c>
      <c r="K18" s="48">
        <v>90</v>
      </c>
      <c r="L18" s="48">
        <v>105</v>
      </c>
      <c r="M18" s="48">
        <v>120</v>
      </c>
      <c r="N18" s="48">
        <v>120</v>
      </c>
      <c r="O18" s="48">
        <v>135</v>
      </c>
      <c r="P18" s="48">
        <v>150</v>
      </c>
      <c r="Q18" s="48">
        <v>150</v>
      </c>
      <c r="R18" s="46">
        <v>28</v>
      </c>
      <c r="S18" s="47">
        <v>45</v>
      </c>
      <c r="T18" s="49">
        <v>120</v>
      </c>
    </row>
    <row r="19" spans="1:20" ht="37.200000000000003" customHeight="1" x14ac:dyDescent="0.3">
      <c r="A19" s="77" t="s">
        <v>71</v>
      </c>
      <c r="B19" s="47">
        <v>45</v>
      </c>
      <c r="C19" s="47">
        <v>45</v>
      </c>
      <c r="D19" s="47">
        <v>45</v>
      </c>
      <c r="E19" s="48">
        <v>60</v>
      </c>
      <c r="F19" s="48">
        <v>60</v>
      </c>
      <c r="G19" s="48">
        <v>60</v>
      </c>
      <c r="H19" s="48">
        <v>60</v>
      </c>
      <c r="I19" s="48">
        <v>75</v>
      </c>
      <c r="J19" s="48">
        <v>75</v>
      </c>
      <c r="K19" s="48">
        <v>75</v>
      </c>
      <c r="L19" s="48">
        <v>90</v>
      </c>
      <c r="M19" s="48">
        <v>90</v>
      </c>
      <c r="N19" s="48">
        <v>105</v>
      </c>
      <c r="O19" s="48">
        <v>120</v>
      </c>
      <c r="P19" s="48">
        <v>150</v>
      </c>
      <c r="Q19" s="48">
        <v>150</v>
      </c>
      <c r="R19" s="47">
        <v>45</v>
      </c>
      <c r="S19" s="46">
        <v>28</v>
      </c>
      <c r="T19" s="49">
        <v>105</v>
      </c>
    </row>
    <row r="20" spans="1:20" ht="37.200000000000003" customHeight="1" x14ac:dyDescent="0.3">
      <c r="A20" s="78" t="s">
        <v>72</v>
      </c>
      <c r="B20" s="51">
        <v>90</v>
      </c>
      <c r="C20" s="51">
        <v>120</v>
      </c>
      <c r="D20" s="51">
        <v>90</v>
      </c>
      <c r="E20" s="51">
        <v>105</v>
      </c>
      <c r="F20" s="51">
        <v>90</v>
      </c>
      <c r="G20" s="51">
        <v>90</v>
      </c>
      <c r="H20" s="51">
        <v>75</v>
      </c>
      <c r="I20" s="51">
        <v>75</v>
      </c>
      <c r="J20" s="51">
        <v>105</v>
      </c>
      <c r="K20" s="51">
        <v>105</v>
      </c>
      <c r="L20" s="51">
        <v>75</v>
      </c>
      <c r="M20" s="51">
        <v>75</v>
      </c>
      <c r="N20" s="51">
        <v>60</v>
      </c>
      <c r="O20" s="51">
        <v>75</v>
      </c>
      <c r="P20" s="51">
        <v>90</v>
      </c>
      <c r="Q20" s="51">
        <v>150</v>
      </c>
      <c r="R20" s="51">
        <v>120</v>
      </c>
      <c r="S20" s="51">
        <v>105</v>
      </c>
      <c r="T20" s="52">
        <v>28</v>
      </c>
    </row>
    <row r="21" spans="1:20" s="45" customFormat="1" x14ac:dyDescent="0.3">
      <c r="A21" s="75"/>
    </row>
    <row r="22" spans="1:20" s="45" customFormat="1" ht="18" x14ac:dyDescent="0.35">
      <c r="A22" s="79" t="s">
        <v>74</v>
      </c>
      <c r="B22" s="53"/>
      <c r="C22" s="54"/>
      <c r="D22" s="54"/>
    </row>
    <row r="23" spans="1:20" s="45" customFormat="1" ht="36" x14ac:dyDescent="0.35">
      <c r="A23" s="80" t="s">
        <v>75</v>
      </c>
      <c r="B23" s="55"/>
      <c r="C23" s="56"/>
      <c r="D23" s="56"/>
    </row>
    <row r="24" spans="1:20" s="45" customFormat="1" x14ac:dyDescent="0.3">
      <c r="A24" s="75"/>
    </row>
    <row r="25" spans="1:20" s="45" customFormat="1" x14ac:dyDescent="0.3">
      <c r="A25" s="75"/>
    </row>
    <row r="26" spans="1:20" s="45" customFormat="1" x14ac:dyDescent="0.3">
      <c r="A26" s="75"/>
    </row>
    <row r="27" spans="1:20" s="45" customFormat="1" ht="18" customHeight="1" x14ac:dyDescent="0.3">
      <c r="A27" s="57" t="s">
        <v>76</v>
      </c>
      <c r="B27" s="57"/>
      <c r="C27" s="57"/>
    </row>
    <row r="28" spans="1:20" s="45" customFormat="1" ht="18" customHeight="1" x14ac:dyDescent="0.3">
      <c r="A28" s="114" t="s">
        <v>77</v>
      </c>
      <c r="B28" s="115"/>
      <c r="C28" s="115"/>
    </row>
    <row r="29" spans="1:20" s="45" customFormat="1" ht="18" customHeight="1" x14ac:dyDescent="0.3">
      <c r="A29" s="116" t="s">
        <v>78</v>
      </c>
      <c r="B29" s="117"/>
      <c r="C29" s="117"/>
    </row>
    <row r="30" spans="1:20" s="45" customFormat="1" ht="18" customHeight="1" x14ac:dyDescent="0.3">
      <c r="A30" s="114" t="s">
        <v>79</v>
      </c>
      <c r="B30" s="114"/>
      <c r="C30" s="114"/>
      <c r="D30" s="114"/>
    </row>
    <row r="31" spans="1:20" s="45" customFormat="1" ht="18" customHeight="1" x14ac:dyDescent="0.3">
      <c r="A31" s="114"/>
      <c r="B31" s="114"/>
      <c r="C31" s="114"/>
      <c r="D31" s="114"/>
    </row>
    <row r="32" spans="1:20" s="45" customFormat="1" ht="14.25" customHeight="1" x14ac:dyDescent="0.3">
      <c r="A32" s="114"/>
      <c r="B32" s="114"/>
      <c r="C32" s="114"/>
      <c r="D32" s="114"/>
    </row>
    <row r="33" spans="1:4" s="45" customFormat="1" ht="14.25" customHeight="1" x14ac:dyDescent="0.3">
      <c r="A33" s="118" t="s">
        <v>80</v>
      </c>
      <c r="B33" s="118"/>
      <c r="C33" s="118"/>
      <c r="D33" s="118"/>
    </row>
    <row r="34" spans="1:4" s="45" customFormat="1" ht="14.25" customHeight="1" x14ac:dyDescent="0.3">
      <c r="A34" s="118"/>
      <c r="B34" s="118"/>
      <c r="C34" s="118"/>
      <c r="D34" s="118"/>
    </row>
    <row r="35" spans="1:4" s="45" customFormat="1" ht="14.25" customHeight="1" x14ac:dyDescent="0.3">
      <c r="A35" s="118"/>
      <c r="B35" s="118"/>
      <c r="C35" s="118"/>
      <c r="D35" s="118"/>
    </row>
    <row r="36" spans="1:4" s="45" customFormat="1" ht="14.25" customHeight="1" x14ac:dyDescent="0.3">
      <c r="A36" s="118"/>
      <c r="B36" s="118"/>
      <c r="C36" s="118"/>
      <c r="D36" s="118"/>
    </row>
    <row r="37" spans="1:4" s="45" customFormat="1" ht="14.25" customHeight="1" x14ac:dyDescent="0.3">
      <c r="A37" s="57"/>
      <c r="B37" s="57"/>
      <c r="C37" s="57"/>
    </row>
    <row r="38" spans="1:4" s="45" customFormat="1" ht="14.25" customHeight="1" x14ac:dyDescent="0.3">
      <c r="A38" s="57"/>
      <c r="B38" s="57"/>
      <c r="C38" s="57"/>
    </row>
    <row r="39" spans="1:4" s="45" customFormat="1" x14ac:dyDescent="0.3">
      <c r="A39" s="75"/>
    </row>
    <row r="40" spans="1:4" s="45" customFormat="1" x14ac:dyDescent="0.3">
      <c r="A40" s="75"/>
    </row>
    <row r="41" spans="1:4" s="45" customFormat="1" x14ac:dyDescent="0.3">
      <c r="A41" s="75"/>
    </row>
    <row r="42" spans="1:4" s="45" customFormat="1" x14ac:dyDescent="0.3">
      <c r="A42" s="75"/>
    </row>
    <row r="43" spans="1:4" s="45" customFormat="1" x14ac:dyDescent="0.3">
      <c r="A43" s="75"/>
    </row>
    <row r="44" spans="1:4" s="45" customFormat="1" x14ac:dyDescent="0.3">
      <c r="A44" s="75"/>
    </row>
    <row r="45" spans="1:4" s="45" customFormat="1" x14ac:dyDescent="0.3">
      <c r="A45" s="75"/>
    </row>
    <row r="46" spans="1:4" s="45" customFormat="1" x14ac:dyDescent="0.3">
      <c r="A46" s="75"/>
    </row>
    <row r="47" spans="1:4" s="45" customFormat="1" x14ac:dyDescent="0.3">
      <c r="A47" s="75"/>
    </row>
    <row r="48" spans="1:4" s="45" customFormat="1" x14ac:dyDescent="0.3">
      <c r="A48" s="75"/>
    </row>
    <row r="49" spans="1:1" s="45" customFormat="1" x14ac:dyDescent="0.3">
      <c r="A49" s="75"/>
    </row>
    <row r="50" spans="1:1" s="45" customFormat="1" x14ac:dyDescent="0.3">
      <c r="A50" s="75"/>
    </row>
    <row r="51" spans="1:1" s="45" customFormat="1" x14ac:dyDescent="0.3">
      <c r="A51" s="75"/>
    </row>
    <row r="52" spans="1:1" s="45" customFormat="1" x14ac:dyDescent="0.3">
      <c r="A52" s="75"/>
    </row>
    <row r="53" spans="1:1" s="45" customFormat="1" x14ac:dyDescent="0.3">
      <c r="A53" s="75"/>
    </row>
    <row r="54" spans="1:1" s="45" customFormat="1" x14ac:dyDescent="0.3">
      <c r="A54" s="75"/>
    </row>
    <row r="55" spans="1:1" s="45" customFormat="1" x14ac:dyDescent="0.3">
      <c r="A55" s="75"/>
    </row>
    <row r="56" spans="1:1" s="45" customFormat="1" x14ac:dyDescent="0.3">
      <c r="A56" s="75"/>
    </row>
    <row r="57" spans="1:1" s="45" customFormat="1" x14ac:dyDescent="0.3">
      <c r="A57" s="75"/>
    </row>
    <row r="58" spans="1:1" s="45" customFormat="1" x14ac:dyDescent="0.3">
      <c r="A58" s="75"/>
    </row>
    <row r="59" spans="1:1" s="45" customFormat="1" x14ac:dyDescent="0.3">
      <c r="A59" s="75"/>
    </row>
    <row r="60" spans="1:1" s="45" customFormat="1" x14ac:dyDescent="0.3">
      <c r="A60" s="75"/>
    </row>
    <row r="61" spans="1:1" s="45" customFormat="1" x14ac:dyDescent="0.3">
      <c r="A61" s="75"/>
    </row>
    <row r="62" spans="1:1" s="45" customFormat="1" x14ac:dyDescent="0.3">
      <c r="A62" s="75"/>
    </row>
    <row r="63" spans="1:1" s="45" customFormat="1" x14ac:dyDescent="0.3">
      <c r="A63" s="75"/>
    </row>
    <row r="64" spans="1:1" s="45" customFormat="1" x14ac:dyDescent="0.3">
      <c r="A64" s="75"/>
    </row>
    <row r="65" spans="1:1" s="45" customFormat="1" x14ac:dyDescent="0.3">
      <c r="A65" s="75"/>
    </row>
    <row r="66" spans="1:1" s="45" customFormat="1" x14ac:dyDescent="0.3">
      <c r="A66" s="75"/>
    </row>
    <row r="67" spans="1:1" s="45" customFormat="1" x14ac:dyDescent="0.3">
      <c r="A67" s="75"/>
    </row>
    <row r="68" spans="1:1" s="45" customFormat="1" x14ac:dyDescent="0.3">
      <c r="A68" s="75"/>
    </row>
    <row r="69" spans="1:1" s="45" customFormat="1" x14ac:dyDescent="0.3">
      <c r="A69" s="75"/>
    </row>
    <row r="70" spans="1:1" s="45" customFormat="1" x14ac:dyDescent="0.3">
      <c r="A70" s="75"/>
    </row>
    <row r="71" spans="1:1" s="45" customFormat="1" x14ac:dyDescent="0.3">
      <c r="A71" s="75"/>
    </row>
    <row r="72" spans="1:1" s="45" customFormat="1" x14ac:dyDescent="0.3">
      <c r="A72" s="75"/>
    </row>
    <row r="73" spans="1:1" s="45" customFormat="1" x14ac:dyDescent="0.3">
      <c r="A73" s="75"/>
    </row>
    <row r="74" spans="1:1" s="45" customFormat="1" x14ac:dyDescent="0.3">
      <c r="A74" s="75"/>
    </row>
    <row r="75" spans="1:1" s="45" customFormat="1" x14ac:dyDescent="0.3">
      <c r="A75" s="75"/>
    </row>
    <row r="76" spans="1:1" s="45" customFormat="1" x14ac:dyDescent="0.3">
      <c r="A76" s="75"/>
    </row>
    <row r="77" spans="1:1" s="45" customFormat="1" x14ac:dyDescent="0.3">
      <c r="A77" s="75"/>
    </row>
    <row r="78" spans="1:1" s="45" customFormat="1" x14ac:dyDescent="0.3">
      <c r="A78" s="75"/>
    </row>
    <row r="79" spans="1:1" s="45" customFormat="1" x14ac:dyDescent="0.3">
      <c r="A79" s="75"/>
    </row>
    <row r="80" spans="1:1" s="45" customFormat="1" x14ac:dyDescent="0.3">
      <c r="A80" s="75"/>
    </row>
    <row r="81" spans="1:1" s="45" customFormat="1" x14ac:dyDescent="0.3">
      <c r="A81" s="75"/>
    </row>
    <row r="82" spans="1:1" s="45" customFormat="1" x14ac:dyDescent="0.3">
      <c r="A82" s="75"/>
    </row>
    <row r="83" spans="1:1" s="45" customFormat="1" x14ac:dyDescent="0.3">
      <c r="A83" s="75"/>
    </row>
    <row r="84" spans="1:1" s="45" customFormat="1" x14ac:dyDescent="0.3">
      <c r="A84" s="75"/>
    </row>
    <row r="85" spans="1:1" s="45" customFormat="1" x14ac:dyDescent="0.3">
      <c r="A85" s="75"/>
    </row>
    <row r="86" spans="1:1" s="45" customFormat="1" x14ac:dyDescent="0.3">
      <c r="A86" s="75"/>
    </row>
    <row r="87" spans="1:1" s="45" customFormat="1" x14ac:dyDescent="0.3">
      <c r="A87" s="75"/>
    </row>
    <row r="88" spans="1:1" s="45" customFormat="1" x14ac:dyDescent="0.3">
      <c r="A88" s="75"/>
    </row>
    <row r="89" spans="1:1" s="45" customFormat="1" x14ac:dyDescent="0.3">
      <c r="A89" s="75"/>
    </row>
    <row r="90" spans="1:1" s="45" customFormat="1" x14ac:dyDescent="0.3">
      <c r="A90" s="75"/>
    </row>
    <row r="91" spans="1:1" s="45" customFormat="1" x14ac:dyDescent="0.3">
      <c r="A91" s="75"/>
    </row>
    <row r="92" spans="1:1" s="45" customFormat="1" x14ac:dyDescent="0.3">
      <c r="A92" s="75"/>
    </row>
    <row r="93" spans="1:1" s="45" customFormat="1" x14ac:dyDescent="0.3">
      <c r="A93" s="75"/>
    </row>
    <row r="94" spans="1:1" s="45" customFormat="1" x14ac:dyDescent="0.3">
      <c r="A94" s="75"/>
    </row>
    <row r="95" spans="1:1" s="45" customFormat="1" x14ac:dyDescent="0.3">
      <c r="A95" s="75"/>
    </row>
    <row r="96" spans="1:1" s="45" customFormat="1" x14ac:dyDescent="0.3">
      <c r="A96" s="75"/>
    </row>
    <row r="97" spans="1:1" s="45" customFormat="1" x14ac:dyDescent="0.3">
      <c r="A97" s="75"/>
    </row>
    <row r="98" spans="1:1" s="45" customFormat="1" x14ac:dyDescent="0.3">
      <c r="A98" s="75"/>
    </row>
    <row r="99" spans="1:1" s="45" customFormat="1" x14ac:dyDescent="0.3">
      <c r="A99" s="75"/>
    </row>
    <row r="100" spans="1:1" s="45" customFormat="1" x14ac:dyDescent="0.3">
      <c r="A100" s="75"/>
    </row>
    <row r="101" spans="1:1" s="45" customFormat="1" x14ac:dyDescent="0.3">
      <c r="A101" s="75"/>
    </row>
    <row r="102" spans="1:1" s="45" customFormat="1" x14ac:dyDescent="0.3">
      <c r="A102" s="75"/>
    </row>
    <row r="103" spans="1:1" s="45" customFormat="1" x14ac:dyDescent="0.3">
      <c r="A103" s="75"/>
    </row>
    <row r="104" spans="1:1" s="45" customFormat="1" x14ac:dyDescent="0.3">
      <c r="A104" s="75"/>
    </row>
    <row r="105" spans="1:1" s="45" customFormat="1" x14ac:dyDescent="0.3">
      <c r="A105" s="75"/>
    </row>
    <row r="106" spans="1:1" s="45" customFormat="1" x14ac:dyDescent="0.3">
      <c r="A106" s="75"/>
    </row>
    <row r="107" spans="1:1" s="45" customFormat="1" x14ac:dyDescent="0.3">
      <c r="A107" s="75"/>
    </row>
    <row r="108" spans="1:1" s="45" customFormat="1" x14ac:dyDescent="0.3">
      <c r="A108" s="75"/>
    </row>
    <row r="109" spans="1:1" s="45" customFormat="1" x14ac:dyDescent="0.3">
      <c r="A109" s="75"/>
    </row>
    <row r="110" spans="1:1" s="45" customFormat="1" x14ac:dyDescent="0.3">
      <c r="A110" s="75"/>
    </row>
    <row r="111" spans="1:1" s="45" customFormat="1" x14ac:dyDescent="0.3">
      <c r="A111" s="75"/>
    </row>
    <row r="112" spans="1:1" s="45" customFormat="1" x14ac:dyDescent="0.3">
      <c r="A112" s="75"/>
    </row>
    <row r="113" spans="1:1" s="45" customFormat="1" x14ac:dyDescent="0.3">
      <c r="A113" s="75"/>
    </row>
    <row r="114" spans="1:1" s="45" customFormat="1" x14ac:dyDescent="0.3">
      <c r="A114" s="75"/>
    </row>
    <row r="115" spans="1:1" s="45" customFormat="1" x14ac:dyDescent="0.3">
      <c r="A115" s="75"/>
    </row>
    <row r="116" spans="1:1" s="45" customFormat="1" x14ac:dyDescent="0.3">
      <c r="A116" s="75"/>
    </row>
    <row r="117" spans="1:1" s="45" customFormat="1" x14ac:dyDescent="0.3">
      <c r="A117" s="75"/>
    </row>
    <row r="118" spans="1:1" s="45" customFormat="1" x14ac:dyDescent="0.3">
      <c r="A118" s="75"/>
    </row>
    <row r="119" spans="1:1" s="45" customFormat="1" x14ac:dyDescent="0.3">
      <c r="A119" s="75"/>
    </row>
    <row r="120" spans="1:1" s="45" customFormat="1" x14ac:dyDescent="0.3">
      <c r="A120" s="75"/>
    </row>
    <row r="121" spans="1:1" s="45" customFormat="1" x14ac:dyDescent="0.3">
      <c r="A121" s="75"/>
    </row>
    <row r="122" spans="1:1" s="45" customFormat="1" x14ac:dyDescent="0.3">
      <c r="A122" s="75"/>
    </row>
    <row r="123" spans="1:1" s="45" customFormat="1" x14ac:dyDescent="0.3">
      <c r="A123" s="75"/>
    </row>
    <row r="124" spans="1:1" s="45" customFormat="1" x14ac:dyDescent="0.3">
      <c r="A124" s="75"/>
    </row>
    <row r="125" spans="1:1" s="45" customFormat="1" x14ac:dyDescent="0.3">
      <c r="A125" s="75"/>
    </row>
    <row r="126" spans="1:1" s="45" customFormat="1" x14ac:dyDescent="0.3">
      <c r="A126" s="75"/>
    </row>
    <row r="127" spans="1:1" s="45" customFormat="1" x14ac:dyDescent="0.3">
      <c r="A127" s="75"/>
    </row>
    <row r="128" spans="1:1" s="45" customFormat="1" x14ac:dyDescent="0.3">
      <c r="A128" s="75"/>
    </row>
    <row r="129" spans="1:1" s="45" customFormat="1" x14ac:dyDescent="0.3">
      <c r="A129" s="75"/>
    </row>
    <row r="130" spans="1:1" s="45" customFormat="1" x14ac:dyDescent="0.3">
      <c r="A130" s="75"/>
    </row>
    <row r="131" spans="1:1" s="45" customFormat="1" x14ac:dyDescent="0.3">
      <c r="A131" s="75"/>
    </row>
    <row r="132" spans="1:1" s="45" customFormat="1" x14ac:dyDescent="0.3">
      <c r="A132" s="75"/>
    </row>
    <row r="133" spans="1:1" s="45" customFormat="1" x14ac:dyDescent="0.3">
      <c r="A133" s="75"/>
    </row>
    <row r="134" spans="1:1" s="45" customFormat="1" x14ac:dyDescent="0.3">
      <c r="A134" s="75"/>
    </row>
    <row r="135" spans="1:1" s="45" customFormat="1" x14ac:dyDescent="0.3">
      <c r="A135" s="75"/>
    </row>
    <row r="136" spans="1:1" s="45" customFormat="1" x14ac:dyDescent="0.3">
      <c r="A136" s="75"/>
    </row>
    <row r="137" spans="1:1" s="45" customFormat="1" x14ac:dyDescent="0.3">
      <c r="A137" s="75"/>
    </row>
    <row r="138" spans="1:1" s="45" customFormat="1" x14ac:dyDescent="0.3">
      <c r="A138" s="75"/>
    </row>
    <row r="139" spans="1:1" s="45" customFormat="1" x14ac:dyDescent="0.3">
      <c r="A139" s="75"/>
    </row>
    <row r="140" spans="1:1" s="45" customFormat="1" x14ac:dyDescent="0.3">
      <c r="A140" s="75"/>
    </row>
    <row r="141" spans="1:1" s="45" customFormat="1" x14ac:dyDescent="0.3">
      <c r="A141" s="75"/>
    </row>
    <row r="142" spans="1:1" s="45" customFormat="1" x14ac:dyDescent="0.3">
      <c r="A142" s="75"/>
    </row>
    <row r="143" spans="1:1" s="45" customFormat="1" x14ac:dyDescent="0.3">
      <c r="A143" s="75"/>
    </row>
    <row r="144" spans="1:1" s="45" customFormat="1" x14ac:dyDescent="0.3">
      <c r="A144" s="75"/>
    </row>
    <row r="145" spans="1:1" s="45" customFormat="1" x14ac:dyDescent="0.3">
      <c r="A145" s="75"/>
    </row>
    <row r="146" spans="1:1" s="45" customFormat="1" x14ac:dyDescent="0.3">
      <c r="A146" s="75"/>
    </row>
    <row r="147" spans="1:1" s="45" customFormat="1" x14ac:dyDescent="0.3">
      <c r="A147" s="75"/>
    </row>
    <row r="148" spans="1:1" s="45" customFormat="1" x14ac:dyDescent="0.3">
      <c r="A148" s="75"/>
    </row>
    <row r="149" spans="1:1" s="45" customFormat="1" x14ac:dyDescent="0.3">
      <c r="A149" s="75"/>
    </row>
    <row r="150" spans="1:1" s="45" customFormat="1" x14ac:dyDescent="0.3">
      <c r="A150" s="75"/>
    </row>
    <row r="151" spans="1:1" s="45" customFormat="1" x14ac:dyDescent="0.3">
      <c r="A151" s="75"/>
    </row>
    <row r="152" spans="1:1" s="45" customFormat="1" x14ac:dyDescent="0.3">
      <c r="A152" s="75"/>
    </row>
    <row r="153" spans="1:1" s="45" customFormat="1" x14ac:dyDescent="0.3">
      <c r="A153" s="75"/>
    </row>
    <row r="154" spans="1:1" s="45" customFormat="1" x14ac:dyDescent="0.3">
      <c r="A154" s="75"/>
    </row>
    <row r="155" spans="1:1" s="45" customFormat="1" x14ac:dyDescent="0.3">
      <c r="A155" s="75"/>
    </row>
    <row r="156" spans="1:1" s="45" customFormat="1" x14ac:dyDescent="0.3">
      <c r="A156" s="75"/>
    </row>
    <row r="157" spans="1:1" s="45" customFormat="1" x14ac:dyDescent="0.3">
      <c r="A157" s="75"/>
    </row>
    <row r="158" spans="1:1" s="45" customFormat="1" x14ac:dyDescent="0.3">
      <c r="A158" s="75"/>
    </row>
    <row r="159" spans="1:1" s="45" customFormat="1" x14ac:dyDescent="0.3">
      <c r="A159" s="75"/>
    </row>
    <row r="160" spans="1:1" s="45" customFormat="1" x14ac:dyDescent="0.3">
      <c r="A160" s="75"/>
    </row>
    <row r="161" spans="1:1" s="45" customFormat="1" x14ac:dyDescent="0.3">
      <c r="A161" s="75"/>
    </row>
    <row r="162" spans="1:1" s="45" customFormat="1" x14ac:dyDescent="0.3">
      <c r="A162" s="75"/>
    </row>
    <row r="163" spans="1:1" s="45" customFormat="1" x14ac:dyDescent="0.3">
      <c r="A163" s="75"/>
    </row>
    <row r="164" spans="1:1" s="45" customFormat="1" x14ac:dyDescent="0.3">
      <c r="A164" s="75"/>
    </row>
    <row r="165" spans="1:1" s="45" customFormat="1" x14ac:dyDescent="0.3">
      <c r="A165" s="75"/>
    </row>
    <row r="166" spans="1:1" s="45" customFormat="1" x14ac:dyDescent="0.3">
      <c r="A166" s="75"/>
    </row>
    <row r="167" spans="1:1" s="45" customFormat="1" x14ac:dyDescent="0.3">
      <c r="A167" s="75"/>
    </row>
    <row r="168" spans="1:1" s="45" customFormat="1" x14ac:dyDescent="0.3">
      <c r="A168" s="75"/>
    </row>
    <row r="169" spans="1:1" s="45" customFormat="1" x14ac:dyDescent="0.3">
      <c r="A169" s="75"/>
    </row>
    <row r="170" spans="1:1" s="45" customFormat="1" x14ac:dyDescent="0.3">
      <c r="A170" s="75"/>
    </row>
    <row r="171" spans="1:1" s="45" customFormat="1" x14ac:dyDescent="0.3">
      <c r="A171" s="75"/>
    </row>
    <row r="172" spans="1:1" s="45" customFormat="1" x14ac:dyDescent="0.3">
      <c r="A172" s="75"/>
    </row>
    <row r="173" spans="1:1" s="45" customFormat="1" x14ac:dyDescent="0.3">
      <c r="A173" s="75"/>
    </row>
    <row r="174" spans="1:1" s="45" customFormat="1" x14ac:dyDescent="0.3">
      <c r="A174" s="75"/>
    </row>
    <row r="175" spans="1:1" s="45" customFormat="1" x14ac:dyDescent="0.3">
      <c r="A175" s="75"/>
    </row>
    <row r="176" spans="1:1" s="45" customFormat="1" x14ac:dyDescent="0.3">
      <c r="A176" s="75"/>
    </row>
    <row r="177" spans="1:1" s="45" customFormat="1" x14ac:dyDescent="0.3">
      <c r="A177" s="75"/>
    </row>
    <row r="178" spans="1:1" s="45" customFormat="1" x14ac:dyDescent="0.3">
      <c r="A178" s="75"/>
    </row>
    <row r="179" spans="1:1" s="45" customFormat="1" x14ac:dyDescent="0.3">
      <c r="A179" s="75"/>
    </row>
    <row r="180" spans="1:1" s="45" customFormat="1" x14ac:dyDescent="0.3">
      <c r="A180" s="75"/>
    </row>
    <row r="181" spans="1:1" s="45" customFormat="1" x14ac:dyDescent="0.3">
      <c r="A181" s="75"/>
    </row>
    <row r="182" spans="1:1" s="45" customFormat="1" x14ac:dyDescent="0.3">
      <c r="A182" s="75"/>
    </row>
    <row r="183" spans="1:1" s="45" customFormat="1" x14ac:dyDescent="0.3">
      <c r="A183" s="75"/>
    </row>
    <row r="184" spans="1:1" s="45" customFormat="1" x14ac:dyDescent="0.3">
      <c r="A184" s="75"/>
    </row>
    <row r="185" spans="1:1" s="45" customFormat="1" x14ac:dyDescent="0.3">
      <c r="A185" s="75"/>
    </row>
    <row r="186" spans="1:1" s="45" customFormat="1" x14ac:dyDescent="0.3">
      <c r="A186" s="75"/>
    </row>
    <row r="187" spans="1:1" s="45" customFormat="1" x14ac:dyDescent="0.3">
      <c r="A187" s="75"/>
    </row>
    <row r="188" spans="1:1" s="45" customFormat="1" x14ac:dyDescent="0.3">
      <c r="A188" s="75"/>
    </row>
    <row r="189" spans="1:1" s="45" customFormat="1" x14ac:dyDescent="0.3">
      <c r="A189" s="75"/>
    </row>
    <row r="190" spans="1:1" s="45" customFormat="1" x14ac:dyDescent="0.3">
      <c r="A190" s="75"/>
    </row>
    <row r="191" spans="1:1" s="45" customFormat="1" x14ac:dyDescent="0.3">
      <c r="A191" s="75"/>
    </row>
    <row r="192" spans="1:1" s="45" customFormat="1" x14ac:dyDescent="0.3">
      <c r="A192" s="75"/>
    </row>
    <row r="193" spans="1:1" s="45" customFormat="1" x14ac:dyDescent="0.3">
      <c r="A193" s="75"/>
    </row>
    <row r="194" spans="1:1" s="45" customFormat="1" x14ac:dyDescent="0.3">
      <c r="A194" s="75"/>
    </row>
    <row r="195" spans="1:1" s="45" customFormat="1" x14ac:dyDescent="0.3">
      <c r="A195" s="75"/>
    </row>
    <row r="196" spans="1:1" s="45" customFormat="1" x14ac:dyDescent="0.3">
      <c r="A196" s="75"/>
    </row>
    <row r="197" spans="1:1" s="45" customFormat="1" x14ac:dyDescent="0.3">
      <c r="A197" s="75"/>
    </row>
    <row r="198" spans="1:1" s="45" customFormat="1" x14ac:dyDescent="0.3">
      <c r="A198" s="75"/>
    </row>
    <row r="199" spans="1:1" s="45" customFormat="1" x14ac:dyDescent="0.3">
      <c r="A199" s="75"/>
    </row>
    <row r="200" spans="1:1" s="45" customFormat="1" x14ac:dyDescent="0.3">
      <c r="A200" s="75"/>
    </row>
    <row r="201" spans="1:1" s="45" customFormat="1" x14ac:dyDescent="0.3">
      <c r="A201" s="75"/>
    </row>
    <row r="202" spans="1:1" s="45" customFormat="1" x14ac:dyDescent="0.3">
      <c r="A202" s="75"/>
    </row>
    <row r="203" spans="1:1" s="45" customFormat="1" x14ac:dyDescent="0.3">
      <c r="A203" s="75"/>
    </row>
    <row r="204" spans="1:1" s="45" customFormat="1" x14ac:dyDescent="0.3">
      <c r="A204" s="75"/>
    </row>
    <row r="205" spans="1:1" s="45" customFormat="1" x14ac:dyDescent="0.3">
      <c r="A205" s="75"/>
    </row>
    <row r="206" spans="1:1" s="45" customFormat="1" x14ac:dyDescent="0.3">
      <c r="A206" s="75"/>
    </row>
    <row r="207" spans="1:1" s="45" customFormat="1" x14ac:dyDescent="0.3">
      <c r="A207" s="75"/>
    </row>
    <row r="208" spans="1:1" s="45" customFormat="1" x14ac:dyDescent="0.3">
      <c r="A208" s="75"/>
    </row>
    <row r="209" spans="1:1" s="45" customFormat="1" x14ac:dyDescent="0.3">
      <c r="A209" s="75"/>
    </row>
    <row r="210" spans="1:1" s="45" customFormat="1" x14ac:dyDescent="0.3">
      <c r="A210" s="75"/>
    </row>
    <row r="211" spans="1:1" s="45" customFormat="1" x14ac:dyDescent="0.3">
      <c r="A211" s="75"/>
    </row>
    <row r="212" spans="1:1" s="45" customFormat="1" x14ac:dyDescent="0.3">
      <c r="A212" s="75"/>
    </row>
    <row r="213" spans="1:1" s="45" customFormat="1" x14ac:dyDescent="0.3">
      <c r="A213" s="75"/>
    </row>
    <row r="214" spans="1:1" s="45" customFormat="1" x14ac:dyDescent="0.3">
      <c r="A214" s="75"/>
    </row>
    <row r="215" spans="1:1" s="45" customFormat="1" x14ac:dyDescent="0.3">
      <c r="A215" s="75"/>
    </row>
    <row r="216" spans="1:1" s="45" customFormat="1" x14ac:dyDescent="0.3">
      <c r="A216" s="75"/>
    </row>
    <row r="217" spans="1:1" s="45" customFormat="1" x14ac:dyDescent="0.3">
      <c r="A217" s="75"/>
    </row>
    <row r="218" spans="1:1" s="45" customFormat="1" x14ac:dyDescent="0.3">
      <c r="A218" s="75"/>
    </row>
    <row r="219" spans="1:1" s="45" customFormat="1" x14ac:dyDescent="0.3">
      <c r="A219" s="75"/>
    </row>
    <row r="220" spans="1:1" s="45" customFormat="1" x14ac:dyDescent="0.3">
      <c r="A220" s="75"/>
    </row>
    <row r="221" spans="1:1" s="45" customFormat="1" x14ac:dyDescent="0.3">
      <c r="A221" s="75"/>
    </row>
    <row r="222" spans="1:1" s="45" customFormat="1" x14ac:dyDescent="0.3">
      <c r="A222" s="75"/>
    </row>
    <row r="223" spans="1:1" s="45" customFormat="1" x14ac:dyDescent="0.3">
      <c r="A223" s="75"/>
    </row>
    <row r="224" spans="1:1" s="45" customFormat="1" x14ac:dyDescent="0.3">
      <c r="A224" s="75"/>
    </row>
    <row r="225" spans="1:1" s="45" customFormat="1" x14ac:dyDescent="0.3">
      <c r="A225" s="75"/>
    </row>
    <row r="226" spans="1:1" s="45" customFormat="1" x14ac:dyDescent="0.3">
      <c r="A226" s="75"/>
    </row>
    <row r="227" spans="1:1" s="45" customFormat="1" x14ac:dyDescent="0.3">
      <c r="A227" s="75"/>
    </row>
    <row r="228" spans="1:1" s="45" customFormat="1" x14ac:dyDescent="0.3">
      <c r="A228" s="75"/>
    </row>
    <row r="229" spans="1:1" s="45" customFormat="1" x14ac:dyDescent="0.3">
      <c r="A229" s="75"/>
    </row>
    <row r="230" spans="1:1" s="45" customFormat="1" x14ac:dyDescent="0.3">
      <c r="A230" s="75"/>
    </row>
    <row r="231" spans="1:1" s="45" customFormat="1" x14ac:dyDescent="0.3">
      <c r="A231" s="75"/>
    </row>
    <row r="232" spans="1:1" s="45" customFormat="1" x14ac:dyDescent="0.3">
      <c r="A232" s="75"/>
    </row>
    <row r="233" spans="1:1" s="45" customFormat="1" x14ac:dyDescent="0.3">
      <c r="A233" s="75"/>
    </row>
    <row r="234" spans="1:1" s="45" customFormat="1" x14ac:dyDescent="0.3">
      <c r="A234" s="75"/>
    </row>
    <row r="235" spans="1:1" s="45" customFormat="1" x14ac:dyDescent="0.3">
      <c r="A235" s="75"/>
    </row>
    <row r="236" spans="1:1" s="45" customFormat="1" x14ac:dyDescent="0.3">
      <c r="A236" s="75"/>
    </row>
    <row r="237" spans="1:1" s="45" customFormat="1" x14ac:dyDescent="0.3">
      <c r="A237" s="75"/>
    </row>
    <row r="238" spans="1:1" s="45" customFormat="1" x14ac:dyDescent="0.3">
      <c r="A238" s="75"/>
    </row>
    <row r="239" spans="1:1" s="45" customFormat="1" x14ac:dyDescent="0.3">
      <c r="A239" s="75"/>
    </row>
    <row r="240" spans="1:1" s="45" customFormat="1" x14ac:dyDescent="0.3">
      <c r="A240" s="75"/>
    </row>
    <row r="241" spans="1:1" s="45" customFormat="1" x14ac:dyDescent="0.3">
      <c r="A241" s="75"/>
    </row>
    <row r="242" spans="1:1" s="45" customFormat="1" x14ac:dyDescent="0.3">
      <c r="A242" s="75"/>
    </row>
    <row r="243" spans="1:1" s="45" customFormat="1" x14ac:dyDescent="0.3">
      <c r="A243" s="75"/>
    </row>
    <row r="244" spans="1:1" s="45" customFormat="1" x14ac:dyDescent="0.3">
      <c r="A244" s="75"/>
    </row>
    <row r="245" spans="1:1" s="45" customFormat="1" x14ac:dyDescent="0.3">
      <c r="A245" s="75"/>
    </row>
    <row r="246" spans="1:1" s="45" customFormat="1" x14ac:dyDescent="0.3">
      <c r="A246" s="75"/>
    </row>
    <row r="247" spans="1:1" s="45" customFormat="1" x14ac:dyDescent="0.3">
      <c r="A247" s="75"/>
    </row>
    <row r="248" spans="1:1" s="45" customFormat="1" x14ac:dyDescent="0.3">
      <c r="A248" s="75"/>
    </row>
    <row r="249" spans="1:1" s="45" customFormat="1" x14ac:dyDescent="0.3">
      <c r="A249" s="75"/>
    </row>
    <row r="250" spans="1:1" s="45" customFormat="1" x14ac:dyDescent="0.3">
      <c r="A250" s="75"/>
    </row>
    <row r="251" spans="1:1" s="45" customFormat="1" x14ac:dyDescent="0.3">
      <c r="A251" s="75"/>
    </row>
    <row r="252" spans="1:1" s="45" customFormat="1" x14ac:dyDescent="0.3">
      <c r="A252" s="75"/>
    </row>
    <row r="253" spans="1:1" s="45" customFormat="1" x14ac:dyDescent="0.3">
      <c r="A253" s="75"/>
    </row>
    <row r="254" spans="1:1" s="45" customFormat="1" x14ac:dyDescent="0.3">
      <c r="A254" s="75"/>
    </row>
    <row r="255" spans="1:1" s="45" customFormat="1" x14ac:dyDescent="0.3">
      <c r="A255" s="75"/>
    </row>
    <row r="256" spans="1:1" s="45" customFormat="1" x14ac:dyDescent="0.3">
      <c r="A256" s="75"/>
    </row>
    <row r="257" spans="1:1" s="45" customFormat="1" x14ac:dyDescent="0.3">
      <c r="A257" s="75"/>
    </row>
    <row r="258" spans="1:1" s="45" customFormat="1" x14ac:dyDescent="0.3">
      <c r="A258" s="75"/>
    </row>
    <row r="259" spans="1:1" s="45" customFormat="1" x14ac:dyDescent="0.3">
      <c r="A259" s="75"/>
    </row>
    <row r="260" spans="1:1" s="45" customFormat="1" x14ac:dyDescent="0.3">
      <c r="A260" s="75"/>
    </row>
    <row r="261" spans="1:1" s="45" customFormat="1" x14ac:dyDescent="0.3">
      <c r="A261" s="75"/>
    </row>
    <row r="262" spans="1:1" s="45" customFormat="1" x14ac:dyDescent="0.3">
      <c r="A262" s="75"/>
    </row>
    <row r="263" spans="1:1" s="45" customFormat="1" x14ac:dyDescent="0.3">
      <c r="A263" s="75"/>
    </row>
    <row r="264" spans="1:1" s="45" customFormat="1" x14ac:dyDescent="0.3">
      <c r="A264" s="75"/>
    </row>
    <row r="265" spans="1:1" s="45" customFormat="1" x14ac:dyDescent="0.3">
      <c r="A265" s="75"/>
    </row>
    <row r="266" spans="1:1" s="45" customFormat="1" x14ac:dyDescent="0.3">
      <c r="A266" s="75"/>
    </row>
    <row r="267" spans="1:1" s="45" customFormat="1" x14ac:dyDescent="0.3">
      <c r="A267" s="75"/>
    </row>
    <row r="268" spans="1:1" s="45" customFormat="1" x14ac:dyDescent="0.3">
      <c r="A268" s="75"/>
    </row>
    <row r="269" spans="1:1" s="45" customFormat="1" x14ac:dyDescent="0.3">
      <c r="A269" s="75"/>
    </row>
    <row r="270" spans="1:1" s="45" customFormat="1" x14ac:dyDescent="0.3">
      <c r="A270" s="75"/>
    </row>
    <row r="271" spans="1:1" s="45" customFormat="1" x14ac:dyDescent="0.3">
      <c r="A271" s="75"/>
    </row>
    <row r="272" spans="1:1" s="45" customFormat="1" x14ac:dyDescent="0.3">
      <c r="A272" s="75"/>
    </row>
    <row r="273" spans="1:1" s="45" customFormat="1" x14ac:dyDescent="0.3">
      <c r="A273" s="75"/>
    </row>
    <row r="274" spans="1:1" s="45" customFormat="1" x14ac:dyDescent="0.3">
      <c r="A274" s="75"/>
    </row>
    <row r="275" spans="1:1" s="45" customFormat="1" x14ac:dyDescent="0.3">
      <c r="A275" s="75"/>
    </row>
    <row r="276" spans="1:1" s="45" customFormat="1" x14ac:dyDescent="0.3">
      <c r="A276" s="75"/>
    </row>
    <row r="277" spans="1:1" s="45" customFormat="1" x14ac:dyDescent="0.3">
      <c r="A277" s="75"/>
    </row>
    <row r="278" spans="1:1" s="45" customFormat="1" x14ac:dyDescent="0.3">
      <c r="A278" s="75"/>
    </row>
    <row r="279" spans="1:1" s="45" customFormat="1" x14ac:dyDescent="0.3">
      <c r="A279" s="75"/>
    </row>
    <row r="280" spans="1:1" s="45" customFormat="1" x14ac:dyDescent="0.3">
      <c r="A280" s="75"/>
    </row>
    <row r="281" spans="1:1" s="45" customFormat="1" x14ac:dyDescent="0.3">
      <c r="A281" s="75"/>
    </row>
    <row r="282" spans="1:1" s="45" customFormat="1" x14ac:dyDescent="0.3">
      <c r="A282" s="75"/>
    </row>
    <row r="283" spans="1:1" s="45" customFormat="1" x14ac:dyDescent="0.3">
      <c r="A283" s="75"/>
    </row>
    <row r="284" spans="1:1" s="45" customFormat="1" x14ac:dyDescent="0.3">
      <c r="A284" s="75"/>
    </row>
    <row r="285" spans="1:1" s="45" customFormat="1" x14ac:dyDescent="0.3">
      <c r="A285" s="75"/>
    </row>
    <row r="286" spans="1:1" s="45" customFormat="1" x14ac:dyDescent="0.3">
      <c r="A286" s="75"/>
    </row>
    <row r="287" spans="1:1" s="45" customFormat="1" x14ac:dyDescent="0.3">
      <c r="A287" s="75"/>
    </row>
    <row r="288" spans="1:1" s="45" customFormat="1" x14ac:dyDescent="0.3">
      <c r="A288" s="75"/>
    </row>
    <row r="289" spans="1:1" s="45" customFormat="1" x14ac:dyDescent="0.3">
      <c r="A289" s="75"/>
    </row>
    <row r="290" spans="1:1" s="45" customFormat="1" x14ac:dyDescent="0.3">
      <c r="A290" s="75"/>
    </row>
    <row r="291" spans="1:1" s="45" customFormat="1" x14ac:dyDescent="0.3">
      <c r="A291" s="75"/>
    </row>
    <row r="292" spans="1:1" s="45" customFormat="1" x14ac:dyDescent="0.3">
      <c r="A292" s="75"/>
    </row>
    <row r="293" spans="1:1" s="45" customFormat="1" x14ac:dyDescent="0.3">
      <c r="A293" s="75"/>
    </row>
    <row r="294" spans="1:1" s="45" customFormat="1" x14ac:dyDescent="0.3">
      <c r="A294" s="75"/>
    </row>
    <row r="295" spans="1:1" s="45" customFormat="1" x14ac:dyDescent="0.3">
      <c r="A295" s="75"/>
    </row>
    <row r="296" spans="1:1" s="45" customFormat="1" x14ac:dyDescent="0.3">
      <c r="A296" s="75"/>
    </row>
    <row r="297" spans="1:1" s="45" customFormat="1" x14ac:dyDescent="0.3">
      <c r="A297" s="75"/>
    </row>
    <row r="298" spans="1:1" s="45" customFormat="1" x14ac:dyDescent="0.3">
      <c r="A298" s="75"/>
    </row>
    <row r="299" spans="1:1" s="45" customFormat="1" x14ac:dyDescent="0.3">
      <c r="A299" s="75"/>
    </row>
    <row r="300" spans="1:1" s="45" customFormat="1" x14ac:dyDescent="0.3">
      <c r="A300" s="75"/>
    </row>
    <row r="301" spans="1:1" s="45" customFormat="1" x14ac:dyDescent="0.3">
      <c r="A301" s="75"/>
    </row>
    <row r="302" spans="1:1" s="45" customFormat="1" x14ac:dyDescent="0.3">
      <c r="A302" s="75"/>
    </row>
    <row r="303" spans="1:1" s="45" customFormat="1" x14ac:dyDescent="0.3">
      <c r="A303" s="75"/>
    </row>
    <row r="304" spans="1:1" s="45" customFormat="1" x14ac:dyDescent="0.3">
      <c r="A304" s="75"/>
    </row>
    <row r="305" spans="1:1" s="45" customFormat="1" x14ac:dyDescent="0.3">
      <c r="A305" s="75"/>
    </row>
    <row r="306" spans="1:1" s="45" customFormat="1" x14ac:dyDescent="0.3">
      <c r="A306" s="75"/>
    </row>
    <row r="307" spans="1:1" s="45" customFormat="1" x14ac:dyDescent="0.3">
      <c r="A307" s="75"/>
    </row>
    <row r="308" spans="1:1" s="45" customFormat="1" x14ac:dyDescent="0.3">
      <c r="A308" s="75"/>
    </row>
    <row r="309" spans="1:1" s="45" customFormat="1" x14ac:dyDescent="0.3">
      <c r="A309" s="75"/>
    </row>
    <row r="310" spans="1:1" s="45" customFormat="1" x14ac:dyDescent="0.3">
      <c r="A310" s="75"/>
    </row>
    <row r="311" spans="1:1" s="45" customFormat="1" x14ac:dyDescent="0.3">
      <c r="A311" s="75"/>
    </row>
    <row r="312" spans="1:1" s="45" customFormat="1" x14ac:dyDescent="0.3">
      <c r="A312" s="75"/>
    </row>
    <row r="313" spans="1:1" s="45" customFormat="1" x14ac:dyDescent="0.3">
      <c r="A313" s="75"/>
    </row>
    <row r="314" spans="1:1" s="45" customFormat="1" x14ac:dyDescent="0.3">
      <c r="A314" s="75"/>
    </row>
    <row r="315" spans="1:1" s="45" customFormat="1" x14ac:dyDescent="0.3">
      <c r="A315" s="75"/>
    </row>
    <row r="316" spans="1:1" s="45" customFormat="1" x14ac:dyDescent="0.3">
      <c r="A316" s="75"/>
    </row>
    <row r="317" spans="1:1" s="45" customFormat="1" x14ac:dyDescent="0.3">
      <c r="A317" s="75"/>
    </row>
    <row r="318" spans="1:1" s="45" customFormat="1" x14ac:dyDescent="0.3">
      <c r="A318" s="75"/>
    </row>
    <row r="319" spans="1:1" s="45" customFormat="1" x14ac:dyDescent="0.3">
      <c r="A319" s="75"/>
    </row>
    <row r="320" spans="1:1" s="45" customFormat="1" x14ac:dyDescent="0.3">
      <c r="A320" s="75"/>
    </row>
    <row r="321" spans="1:1" s="45" customFormat="1" x14ac:dyDescent="0.3">
      <c r="A321" s="75"/>
    </row>
    <row r="322" spans="1:1" s="45" customFormat="1" x14ac:dyDescent="0.3">
      <c r="A322" s="75"/>
    </row>
    <row r="323" spans="1:1" s="45" customFormat="1" x14ac:dyDescent="0.3">
      <c r="A323" s="75"/>
    </row>
    <row r="324" spans="1:1" s="45" customFormat="1" x14ac:dyDescent="0.3">
      <c r="A324" s="75"/>
    </row>
    <row r="325" spans="1:1" s="45" customFormat="1" x14ac:dyDescent="0.3">
      <c r="A325" s="75"/>
    </row>
    <row r="326" spans="1:1" s="45" customFormat="1" x14ac:dyDescent="0.3">
      <c r="A326" s="75"/>
    </row>
    <row r="327" spans="1:1" s="45" customFormat="1" x14ac:dyDescent="0.3">
      <c r="A327" s="75"/>
    </row>
    <row r="328" spans="1:1" s="45" customFormat="1" x14ac:dyDescent="0.3">
      <c r="A328" s="75"/>
    </row>
    <row r="329" spans="1:1" s="45" customFormat="1" x14ac:dyDescent="0.3">
      <c r="A329" s="75"/>
    </row>
    <row r="330" spans="1:1" s="45" customFormat="1" x14ac:dyDescent="0.3">
      <c r="A330" s="75"/>
    </row>
    <row r="331" spans="1:1" s="45" customFormat="1" x14ac:dyDescent="0.3">
      <c r="A331" s="75"/>
    </row>
    <row r="332" spans="1:1" s="45" customFormat="1" x14ac:dyDescent="0.3">
      <c r="A332" s="75"/>
    </row>
    <row r="333" spans="1:1" s="45" customFormat="1" x14ac:dyDescent="0.3">
      <c r="A333" s="75"/>
    </row>
    <row r="334" spans="1:1" s="45" customFormat="1" x14ac:dyDescent="0.3">
      <c r="A334" s="75"/>
    </row>
    <row r="335" spans="1:1" s="45" customFormat="1" x14ac:dyDescent="0.3">
      <c r="A335" s="75"/>
    </row>
    <row r="336" spans="1:1" s="45" customFormat="1" x14ac:dyDescent="0.3">
      <c r="A336" s="75"/>
    </row>
    <row r="337" spans="1:1" s="45" customFormat="1" x14ac:dyDescent="0.3">
      <c r="A337" s="75"/>
    </row>
    <row r="338" spans="1:1" s="45" customFormat="1" x14ac:dyDescent="0.3">
      <c r="A338" s="75"/>
    </row>
    <row r="339" spans="1:1" s="45" customFormat="1" x14ac:dyDescent="0.3">
      <c r="A339" s="75"/>
    </row>
  </sheetData>
  <mergeCells count="4">
    <mergeCell ref="A28:C28"/>
    <mergeCell ref="A29:C29"/>
    <mergeCell ref="A30:D32"/>
    <mergeCell ref="A33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R23"/>
  <sheetViews>
    <sheetView showGridLines="0" zoomScale="70" zoomScaleNormal="70" workbookViewId="0">
      <pane xSplit="3" ySplit="2" topLeftCell="G3" activePane="bottomRight" state="frozen"/>
      <selection pane="topRight" activeCell="D1" sqref="D1"/>
      <selection pane="bottomLeft" activeCell="A10" sqref="A10"/>
      <selection pane="bottomRight" activeCell="L17" sqref="L17"/>
    </sheetView>
  </sheetViews>
  <sheetFormatPr defaultColWidth="10" defaultRowHeight="16.2" outlineLevelCol="2" x14ac:dyDescent="0.4"/>
  <cols>
    <col min="1" max="1" width="26.88671875" style="5" bestFit="1" customWidth="1"/>
    <col min="2" max="2" width="13.6640625" style="6" customWidth="1"/>
    <col min="3" max="3" width="17" style="7" customWidth="1"/>
    <col min="4" max="4" width="8.5546875" style="7" hidden="1" customWidth="1" outlineLevel="1"/>
    <col min="5" max="5" width="9.6640625" style="7" hidden="1" customWidth="1" outlineLevel="1"/>
    <col min="6" max="6" width="9.88671875" style="7" hidden="1" customWidth="1" outlineLevel="1"/>
    <col min="7" max="7" width="14.33203125" style="8" customWidth="1" collapsed="1"/>
    <col min="8" max="8" width="13.6640625" style="8" customWidth="1"/>
    <col min="9" max="9" width="15.109375" style="8" customWidth="1"/>
    <col min="10" max="10" width="13.6640625" style="6" customWidth="1" outlineLevel="1"/>
    <col min="11" max="11" width="16.33203125" style="6" customWidth="1" outlineLevel="1"/>
    <col min="12" max="12" width="18.109375" style="8" customWidth="1" outlineLevel="1"/>
    <col min="13" max="13" width="19.33203125" style="8" customWidth="1"/>
    <col min="14" max="14" width="16.88671875" style="6" customWidth="1"/>
    <col min="15" max="17" width="13.33203125" style="8" customWidth="1"/>
    <col min="18" max="19" width="13.33203125" style="8" customWidth="1" outlineLevel="1"/>
    <col min="20" max="20" width="14.88671875" style="8" customWidth="1" outlineLevel="1"/>
    <col min="21" max="21" width="15.5546875" style="61" customWidth="1" outlineLevel="1"/>
    <col min="22" max="22" width="18" style="61" customWidth="1" outlineLevel="2"/>
    <col min="23" max="23" width="15.5546875" style="61" customWidth="1" outlineLevel="2"/>
    <col min="24" max="25" width="16" style="8" customWidth="1" outlineLevel="1"/>
    <col min="26" max="26" width="19.33203125" style="8" customWidth="1" outlineLevel="1"/>
    <col min="27" max="27" width="13.6640625" style="8" customWidth="1" outlineLevel="1"/>
    <col min="28" max="28" width="16.33203125" style="8" customWidth="1" outlineLevel="1"/>
    <col min="29" max="29" width="17.5546875" customWidth="1" outlineLevel="1"/>
    <col min="30" max="30" width="14" style="7" customWidth="1" outlineLevel="1"/>
    <col min="31" max="31" width="17.5546875" style="8" customWidth="1"/>
    <col min="32" max="32" width="15" style="8" customWidth="1"/>
    <col min="33" max="33" width="19.109375" style="8" customWidth="1"/>
    <col min="34" max="34" width="15.5546875" customWidth="1"/>
    <col min="35" max="35" width="15.88671875" customWidth="1"/>
    <col min="36" max="36" width="13.44140625" customWidth="1"/>
    <col min="37" max="37" width="22.5546875" customWidth="1"/>
    <col min="38" max="38" width="9.6640625" customWidth="1"/>
    <col min="39" max="39" width="13.44140625" customWidth="1"/>
    <col min="40" max="40" width="15.5546875" customWidth="1"/>
    <col min="41" max="41" width="19.33203125" customWidth="1"/>
    <col min="42" max="42" width="14.109375" customWidth="1"/>
    <col min="43" max="43" width="21" customWidth="1"/>
    <col min="44" max="44" width="19.5546875" customWidth="1"/>
  </cols>
  <sheetData>
    <row r="1" spans="1:44" ht="42" customHeight="1" x14ac:dyDescent="0.4">
      <c r="A1" s="109"/>
      <c r="B1" s="109"/>
      <c r="C1" s="109"/>
      <c r="J1" s="8"/>
      <c r="K1" s="8"/>
      <c r="N1" s="8"/>
      <c r="O1" s="4"/>
      <c r="T1" s="4"/>
      <c r="U1" s="110" t="s">
        <v>19</v>
      </c>
      <c r="V1" s="110"/>
      <c r="W1" s="110"/>
      <c r="X1" s="110"/>
      <c r="Y1" s="110"/>
      <c r="Z1" s="110"/>
      <c r="AA1" s="110"/>
      <c r="AB1" s="111" t="s">
        <v>20</v>
      </c>
      <c r="AC1" s="112"/>
      <c r="AE1" s="4" t="s">
        <v>25</v>
      </c>
      <c r="AF1" s="4"/>
      <c r="AI1" s="3"/>
      <c r="AK1" s="113" t="s">
        <v>30</v>
      </c>
      <c r="AL1" s="113"/>
      <c r="AM1" s="113"/>
    </row>
    <row r="2" spans="1:44" s="1" customFormat="1" ht="68.400000000000006" customHeight="1" x14ac:dyDescent="0.3">
      <c r="A2" s="9" t="s">
        <v>0</v>
      </c>
      <c r="B2" s="10" t="s">
        <v>1</v>
      </c>
      <c r="C2" s="10" t="s">
        <v>2</v>
      </c>
      <c r="D2" s="12" t="s">
        <v>42</v>
      </c>
      <c r="E2" s="12" t="s">
        <v>43</v>
      </c>
      <c r="F2" s="12" t="s">
        <v>44</v>
      </c>
      <c r="G2" s="10" t="s">
        <v>3</v>
      </c>
      <c r="H2" s="10" t="s">
        <v>5</v>
      </c>
      <c r="I2" s="10" t="s">
        <v>4</v>
      </c>
      <c r="J2" s="10" t="s">
        <v>6</v>
      </c>
      <c r="K2" s="10" t="s">
        <v>7</v>
      </c>
      <c r="L2" s="10" t="s">
        <v>8</v>
      </c>
      <c r="M2" s="10" t="s">
        <v>9</v>
      </c>
      <c r="N2" s="11" t="s">
        <v>12</v>
      </c>
      <c r="O2" s="11" t="s">
        <v>10</v>
      </c>
      <c r="P2" s="11" t="s">
        <v>11</v>
      </c>
      <c r="Q2" s="11" t="s">
        <v>13</v>
      </c>
      <c r="R2" s="17" t="s">
        <v>16</v>
      </c>
      <c r="S2" s="31" t="s">
        <v>46</v>
      </c>
      <c r="T2" s="17" t="s">
        <v>14</v>
      </c>
      <c r="U2" s="63" t="s">
        <v>52</v>
      </c>
      <c r="V2" s="65" t="s">
        <v>82</v>
      </c>
      <c r="W2" s="65" t="s">
        <v>83</v>
      </c>
      <c r="X2" s="17" t="s">
        <v>17</v>
      </c>
      <c r="Y2" s="17" t="s">
        <v>48</v>
      </c>
      <c r="Z2" s="17" t="s">
        <v>84</v>
      </c>
      <c r="AA2" s="18" t="s">
        <v>18</v>
      </c>
      <c r="AB2" s="17" t="s">
        <v>21</v>
      </c>
      <c r="AC2" s="18" t="s">
        <v>22</v>
      </c>
      <c r="AD2" s="17" t="s">
        <v>23</v>
      </c>
      <c r="AE2" s="17" t="s">
        <v>24</v>
      </c>
      <c r="AF2" s="17" t="s">
        <v>49</v>
      </c>
      <c r="AG2" s="19" t="s">
        <v>26</v>
      </c>
      <c r="AH2" s="19" t="s">
        <v>27</v>
      </c>
      <c r="AI2" s="19" t="s">
        <v>28</v>
      </c>
      <c r="AJ2" s="19" t="s">
        <v>29</v>
      </c>
      <c r="AK2" s="15" t="s">
        <v>34</v>
      </c>
      <c r="AL2" s="15" t="s">
        <v>35</v>
      </c>
      <c r="AM2" s="15" t="s">
        <v>36</v>
      </c>
      <c r="AN2" s="19" t="s">
        <v>37</v>
      </c>
      <c r="AO2" s="19" t="s">
        <v>38</v>
      </c>
      <c r="AP2" s="19" t="s">
        <v>39</v>
      </c>
      <c r="AQ2" s="19" t="s">
        <v>40</v>
      </c>
      <c r="AR2" s="19" t="s">
        <v>41</v>
      </c>
    </row>
    <row r="3" spans="1:44" s="1" customFormat="1" x14ac:dyDescent="0.3">
      <c r="A3" s="102"/>
      <c r="B3" s="21"/>
      <c r="C3" s="22"/>
      <c r="D3" s="22">
        <v>8</v>
      </c>
      <c r="E3" s="22">
        <v>8</v>
      </c>
      <c r="F3" s="22">
        <v>3</v>
      </c>
      <c r="G3" s="16"/>
      <c r="H3" s="23">
        <f t="shared" ref="H3:H23" si="0">G3*B3*C3</f>
        <v>0</v>
      </c>
      <c r="I3" s="23">
        <f t="shared" ref="I3:I23" si="1">B3*C3+H3</f>
        <v>0</v>
      </c>
      <c r="J3" s="21"/>
      <c r="K3" s="21"/>
      <c r="L3" s="23">
        <f t="shared" ref="L3:L23" si="2">I3+J3*C3+K3</f>
        <v>0</v>
      </c>
      <c r="M3" s="23">
        <f t="shared" ref="M3:M23" si="3">IFERROR(L3/C3,0)</f>
        <v>0</v>
      </c>
      <c r="N3" s="24"/>
      <c r="O3" s="83"/>
      <c r="P3" s="23">
        <f t="shared" ref="P3:P23" si="4">O3*N3</f>
        <v>0</v>
      </c>
      <c r="Q3" s="23">
        <f t="shared" ref="Q3:Q23" si="5">N3*1.5%</f>
        <v>0</v>
      </c>
      <c r="R3" s="35">
        <f t="shared" ref="R3:R23" si="6">ROUNDUP(IF((D3/100)*(E3/100)*(F3/100)*1000&lt;=1,(D3/100)*(E3/100)*(F3/100)*1000,ROUNDUP((D3/100)*(E3/100)*(F3/100)*1000,1)),1)</f>
        <v>0.2</v>
      </c>
      <c r="S3" s="32" t="s">
        <v>47</v>
      </c>
      <c r="T3" s="101">
        <f>IF(R3&lt;1,
VLOOKUP(S3&amp;1,Справка!K:N,4,0),
IF(R3&lt;=3,VLOOKUP(S3&amp;ROUNDUP(R3,0),Справка!K:N,4,0),
IF(R3&lt;=190,VLOOKUP(S3&amp;3,Справка!K:N,4,0)+ROUNDUP(R3-3,0)*IF(S3="FBO",15.25,23.39),
IF(R3&lt;1000,IF(S3="FBO",2918.86,4491.87)+(R3-190)*6.1,
IF(S3="FBO",7859.86,9432.87)
))
))</f>
        <v>46.77</v>
      </c>
      <c r="U3" s="64">
        <v>29</v>
      </c>
      <c r="V3" s="66">
        <f>IFERROR(VLOOKUP($U3,Справка!$Y:$AA,2,0),"")</f>
        <v>1</v>
      </c>
      <c r="W3" s="67">
        <f>IFERROR(VLOOKUP($U3,Справка!$Y:$AA,3,0),"")</f>
        <v>0</v>
      </c>
      <c r="X3" s="68">
        <f t="shared" ref="X3:X23" si="7">IF(S3="FBS",T3,IFERROR(V3*T3+N3*W3,""))</f>
        <v>46.77</v>
      </c>
      <c r="Y3" s="24"/>
      <c r="Z3" s="26"/>
      <c r="AA3" s="26">
        <f t="shared" ref="AA3:AA23" si="8">IFERROR(Z3+X3+Y3,"")</f>
        <v>46.77</v>
      </c>
      <c r="AB3" s="33"/>
      <c r="AC3" s="25">
        <f t="shared" ref="AC3:AC23" si="9">IFERROR(AB3+T3,0)</f>
        <v>46.77</v>
      </c>
      <c r="AD3" s="22"/>
      <c r="AE3" s="26">
        <f t="shared" ref="AE3:AE23" si="10">IFERROR((100/AD3)*AA3+(100/AD3-1)*AC3,0)</f>
        <v>0</v>
      </c>
      <c r="AF3" s="27" t="str">
        <f t="shared" ref="AF3:AF23" si="11">IFERROR(AE3/N3,"")</f>
        <v/>
      </c>
      <c r="AG3" s="16"/>
      <c r="AH3" s="25">
        <f t="shared" ref="AH3:AH23" si="12">AG3*N3</f>
        <v>0</v>
      </c>
      <c r="AI3" s="26">
        <f t="shared" ref="AI3:AI23" si="13">AH3+AE3+P3+Q3</f>
        <v>0</v>
      </c>
      <c r="AJ3" s="27" t="str">
        <f t="shared" ref="AJ3:AJ23" si="14">IFERROR(AI3/N3,"")</f>
        <v/>
      </c>
      <c r="AK3" s="28" t="s">
        <v>31</v>
      </c>
      <c r="AL3" s="16"/>
      <c r="AM3" s="29">
        <f t="shared" ref="AM3:AM23" si="15">IF(AK3="","",IF(AK3="УСН-ДОХОДЫ",AL3*N3,IF(AK3="УСН Д-Р",AL3*(N3-AI3-M3),0)))</f>
        <v>0</v>
      </c>
      <c r="AN3" s="25">
        <f t="shared" ref="AN3:AN23" si="16">IFERROR(M3+AI3+AM3,"")</f>
        <v>0</v>
      </c>
      <c r="AO3" s="26">
        <f t="shared" ref="AO3:AO23" si="17">IFERROR(N3-AN3,"")</f>
        <v>0</v>
      </c>
      <c r="AP3" s="26">
        <f t="shared" ref="AP3:AP23" si="18">IFERROR(AO3*C3,"")</f>
        <v>0</v>
      </c>
      <c r="AQ3" s="99" t="str">
        <f t="shared" ref="AQ3:AQ23" si="19">IFERROR(AO3/N3,"")</f>
        <v/>
      </c>
      <c r="AR3" s="30" t="str">
        <f t="shared" ref="AR3:AR23" si="20">IFERROR(AO3/M3,"")</f>
        <v/>
      </c>
    </row>
    <row r="4" spans="1:44" s="1" customFormat="1" x14ac:dyDescent="0.3">
      <c r="A4" s="103"/>
      <c r="B4" s="21"/>
      <c r="C4" s="22"/>
      <c r="D4" s="22"/>
      <c r="E4" s="22"/>
      <c r="F4" s="22"/>
      <c r="G4" s="16"/>
      <c r="H4" s="23">
        <f t="shared" si="0"/>
        <v>0</v>
      </c>
      <c r="I4" s="23">
        <f t="shared" si="1"/>
        <v>0</v>
      </c>
      <c r="J4" s="21"/>
      <c r="K4" s="21"/>
      <c r="L4" s="23">
        <f t="shared" si="2"/>
        <v>0</v>
      </c>
      <c r="M4" s="23">
        <f t="shared" si="3"/>
        <v>0</v>
      </c>
      <c r="N4" s="24"/>
      <c r="O4" s="83"/>
      <c r="P4" s="23">
        <f t="shared" si="4"/>
        <v>0</v>
      </c>
      <c r="Q4" s="23">
        <f t="shared" si="5"/>
        <v>0</v>
      </c>
      <c r="R4" s="35">
        <f t="shared" si="6"/>
        <v>0</v>
      </c>
      <c r="S4" s="32" t="s">
        <v>47</v>
      </c>
      <c r="T4" s="101">
        <f>IF(R4&lt;1,
VLOOKUP(S4&amp;1,Справка!K:N,4,0),
IF(R4&lt;=3,VLOOKUP(S4&amp;ROUNDUP(R4,0),Справка!K:N,4,0),
IF(R4&lt;=190,VLOOKUP(S4&amp;3,Справка!K:N,4,0)+ROUNDUP(R4-3,0)*IF(S4="FBO",15.25,23),
IF(R4&lt;1000,IF(S4="FBO",2918.86,4417)+(R4-190)*6,
IF(S4="FBO",7731,9277)
))
))</f>
        <v>46.77</v>
      </c>
      <c r="U4" s="64">
        <v>29</v>
      </c>
      <c r="V4" s="66">
        <f>IFERROR(VLOOKUP($U4,Справка!$Y:$AA,2,0),"")</f>
        <v>1</v>
      </c>
      <c r="W4" s="67">
        <f>IFERROR(VLOOKUP($U4,Справка!$Y:$AA,3,0),"")</f>
        <v>0</v>
      </c>
      <c r="X4" s="68">
        <f t="shared" si="7"/>
        <v>46.77</v>
      </c>
      <c r="Y4" s="24"/>
      <c r="Z4" s="26"/>
      <c r="AA4" s="26">
        <f t="shared" si="8"/>
        <v>46.77</v>
      </c>
      <c r="AB4" s="33"/>
      <c r="AC4" s="25">
        <f t="shared" si="9"/>
        <v>46.77</v>
      </c>
      <c r="AD4" s="22"/>
      <c r="AE4" s="26">
        <f t="shared" si="10"/>
        <v>0</v>
      </c>
      <c r="AF4" s="27" t="str">
        <f t="shared" si="11"/>
        <v/>
      </c>
      <c r="AG4" s="16"/>
      <c r="AH4" s="25">
        <f t="shared" si="12"/>
        <v>0</v>
      </c>
      <c r="AI4" s="26">
        <f t="shared" si="13"/>
        <v>0</v>
      </c>
      <c r="AJ4" s="27" t="str">
        <f t="shared" si="14"/>
        <v/>
      </c>
      <c r="AK4" s="28" t="s">
        <v>31</v>
      </c>
      <c r="AL4" s="16"/>
      <c r="AM4" s="29">
        <f t="shared" si="15"/>
        <v>0</v>
      </c>
      <c r="AN4" s="25">
        <f t="shared" si="16"/>
        <v>0</v>
      </c>
      <c r="AO4" s="26">
        <f t="shared" si="17"/>
        <v>0</v>
      </c>
      <c r="AP4" s="26">
        <f t="shared" si="18"/>
        <v>0</v>
      </c>
      <c r="AQ4" s="30" t="str">
        <f t="shared" si="19"/>
        <v/>
      </c>
      <c r="AR4" s="30" t="str">
        <f t="shared" si="20"/>
        <v/>
      </c>
    </row>
    <row r="5" spans="1:44" s="1" customFormat="1" ht="22.2" customHeight="1" x14ac:dyDescent="0.3">
      <c r="A5" s="20"/>
      <c r="B5" s="21"/>
      <c r="C5" s="22"/>
      <c r="D5" s="22"/>
      <c r="E5" s="22"/>
      <c r="F5" s="22"/>
      <c r="G5" s="16"/>
      <c r="H5" s="23">
        <f t="shared" si="0"/>
        <v>0</v>
      </c>
      <c r="I5" s="23">
        <f t="shared" si="1"/>
        <v>0</v>
      </c>
      <c r="J5" s="21"/>
      <c r="K5" s="21"/>
      <c r="L5" s="23">
        <f t="shared" si="2"/>
        <v>0</v>
      </c>
      <c r="M5" s="23">
        <f t="shared" si="3"/>
        <v>0</v>
      </c>
      <c r="N5" s="24"/>
      <c r="O5" s="16"/>
      <c r="P5" s="23">
        <f t="shared" si="4"/>
        <v>0</v>
      </c>
      <c r="Q5" s="23">
        <f t="shared" si="5"/>
        <v>0</v>
      </c>
      <c r="R5" s="35">
        <f t="shared" si="6"/>
        <v>0</v>
      </c>
      <c r="S5" s="32"/>
      <c r="T5" s="101" t="e">
        <f>IF(R5&lt;1,
VLOOKUP(S5&amp;1,Справка!K:N,4,0),
IF(R5&lt;=3,VLOOKUP(S5&amp;ROUNDUP(R5,0),Справка!K:N,4,0),
IF(R5&lt;=190,VLOOKUP(S5&amp;3,Справка!K:N,4,0)+ROUNDUP(R5-3,0)*IF(S5="FBO",15.25,23),
IF(R5&lt;1000,IF(S5="FBO",2918.86,4417)+(R5-190)*6,
IF(S5="FBO",7731,9277)
))
))</f>
        <v>#N/A</v>
      </c>
      <c r="U5" s="64"/>
      <c r="V5" s="66" t="str">
        <f>IFERROR(VLOOKUP($U5,Справка!$Y:$AA,2,0),"")</f>
        <v/>
      </c>
      <c r="W5" s="67" t="str">
        <f>IFERROR(VLOOKUP($U5,Справка!$Y:$AA,3,0),"")</f>
        <v/>
      </c>
      <c r="X5" s="68" t="str">
        <f t="shared" si="7"/>
        <v/>
      </c>
      <c r="Y5" s="24"/>
      <c r="Z5" s="26">
        <v>25</v>
      </c>
      <c r="AA5" s="26" t="str">
        <f t="shared" si="8"/>
        <v/>
      </c>
      <c r="AB5" s="33"/>
      <c r="AC5" s="25">
        <f t="shared" si="9"/>
        <v>0</v>
      </c>
      <c r="AD5" s="22"/>
      <c r="AE5" s="26">
        <f t="shared" si="10"/>
        <v>0</v>
      </c>
      <c r="AF5" s="27" t="str">
        <f t="shared" si="11"/>
        <v/>
      </c>
      <c r="AG5" s="16"/>
      <c r="AH5" s="25">
        <f t="shared" si="12"/>
        <v>0</v>
      </c>
      <c r="AI5" s="26">
        <f t="shared" si="13"/>
        <v>0</v>
      </c>
      <c r="AJ5" s="27" t="str">
        <f t="shared" si="14"/>
        <v/>
      </c>
      <c r="AK5" s="28"/>
      <c r="AL5" s="16"/>
      <c r="AM5" s="29" t="str">
        <f t="shared" si="15"/>
        <v/>
      </c>
      <c r="AN5" s="25" t="str">
        <f t="shared" si="16"/>
        <v/>
      </c>
      <c r="AO5" s="26" t="str">
        <f t="shared" si="17"/>
        <v/>
      </c>
      <c r="AP5" s="26" t="str">
        <f t="shared" si="18"/>
        <v/>
      </c>
      <c r="AQ5" s="30" t="str">
        <f t="shared" si="19"/>
        <v/>
      </c>
      <c r="AR5" s="30" t="str">
        <f t="shared" si="20"/>
        <v/>
      </c>
    </row>
    <row r="6" spans="1:44" s="1" customFormat="1" ht="22.2" customHeight="1" x14ac:dyDescent="0.3">
      <c r="A6" s="20"/>
      <c r="B6" s="21"/>
      <c r="C6" s="22"/>
      <c r="D6" s="22"/>
      <c r="E6" s="22"/>
      <c r="F6" s="22"/>
      <c r="G6" s="16"/>
      <c r="H6" s="23">
        <f t="shared" si="0"/>
        <v>0</v>
      </c>
      <c r="I6" s="23">
        <f t="shared" si="1"/>
        <v>0</v>
      </c>
      <c r="J6" s="21"/>
      <c r="K6" s="21"/>
      <c r="L6" s="23">
        <f t="shared" si="2"/>
        <v>0</v>
      </c>
      <c r="M6" s="23">
        <f t="shared" si="3"/>
        <v>0</v>
      </c>
      <c r="N6" s="24"/>
      <c r="O6" s="16"/>
      <c r="P6" s="23">
        <f t="shared" si="4"/>
        <v>0</v>
      </c>
      <c r="Q6" s="23">
        <f t="shared" si="5"/>
        <v>0</v>
      </c>
      <c r="R6" s="35">
        <f t="shared" si="6"/>
        <v>0</v>
      </c>
      <c r="S6" s="32"/>
      <c r="T6" s="101" t="e">
        <f>IF(R6&lt;1,
VLOOKUP(S6&amp;1,Справка!K:N,4,0),
IF(R6&lt;=3,VLOOKUP(S6&amp;ROUNDUP(R6,0),Справка!K:N,4,0),
IF(R6&lt;=190,VLOOKUP(S6&amp;3,Справка!K:N,4,0)+ROUNDUP(R6-3,0)*IF(S6="FBO",15.25,23),
IF(R6&lt;1000,IF(S6="FBO",2918.86,4417)+(R6-190)*6,
IF(S6="FBO",7731,9277)
))
))</f>
        <v>#N/A</v>
      </c>
      <c r="U6" s="64"/>
      <c r="V6" s="66" t="str">
        <f>IFERROR(VLOOKUP($U6,Справка!$Y:$AA,2,0),"")</f>
        <v/>
      </c>
      <c r="W6" s="67" t="str">
        <f>IFERROR(VLOOKUP($U6,Справка!$Y:$AA,3,0),"")</f>
        <v/>
      </c>
      <c r="X6" s="68" t="str">
        <f t="shared" si="7"/>
        <v/>
      </c>
      <c r="Y6" s="24"/>
      <c r="Z6" s="26">
        <v>25</v>
      </c>
      <c r="AA6" s="26" t="str">
        <f t="shared" si="8"/>
        <v/>
      </c>
      <c r="AB6" s="33"/>
      <c r="AC6" s="25">
        <f t="shared" si="9"/>
        <v>0</v>
      </c>
      <c r="AD6" s="22"/>
      <c r="AE6" s="26">
        <f t="shared" si="10"/>
        <v>0</v>
      </c>
      <c r="AF6" s="27" t="str">
        <f t="shared" si="11"/>
        <v/>
      </c>
      <c r="AG6" s="16"/>
      <c r="AH6" s="25">
        <f t="shared" si="12"/>
        <v>0</v>
      </c>
      <c r="AI6" s="26">
        <f t="shared" si="13"/>
        <v>0</v>
      </c>
      <c r="AJ6" s="27" t="str">
        <f t="shared" si="14"/>
        <v/>
      </c>
      <c r="AK6" s="28"/>
      <c r="AL6" s="16"/>
      <c r="AM6" s="29" t="str">
        <f t="shared" si="15"/>
        <v/>
      </c>
      <c r="AN6" s="25" t="str">
        <f t="shared" si="16"/>
        <v/>
      </c>
      <c r="AO6" s="26" t="str">
        <f t="shared" si="17"/>
        <v/>
      </c>
      <c r="AP6" s="26" t="str">
        <f t="shared" si="18"/>
        <v/>
      </c>
      <c r="AQ6" s="30" t="str">
        <f t="shared" si="19"/>
        <v/>
      </c>
      <c r="AR6" s="30" t="str">
        <f t="shared" si="20"/>
        <v/>
      </c>
    </row>
    <row r="7" spans="1:44" s="1" customFormat="1" ht="22.2" customHeight="1" x14ac:dyDescent="0.3">
      <c r="A7" s="20"/>
      <c r="B7" s="21"/>
      <c r="C7" s="22"/>
      <c r="D7" s="22"/>
      <c r="E7" s="22"/>
      <c r="F7" s="22"/>
      <c r="G7" s="16"/>
      <c r="H7" s="23">
        <f t="shared" si="0"/>
        <v>0</v>
      </c>
      <c r="I7" s="23">
        <f t="shared" si="1"/>
        <v>0</v>
      </c>
      <c r="J7" s="21"/>
      <c r="K7" s="21"/>
      <c r="L7" s="23">
        <f t="shared" si="2"/>
        <v>0</v>
      </c>
      <c r="M7" s="23">
        <f t="shared" si="3"/>
        <v>0</v>
      </c>
      <c r="N7" s="24"/>
      <c r="O7" s="16"/>
      <c r="P7" s="23">
        <f t="shared" si="4"/>
        <v>0</v>
      </c>
      <c r="Q7" s="23">
        <f t="shared" si="5"/>
        <v>0</v>
      </c>
      <c r="R7" s="35">
        <f t="shared" si="6"/>
        <v>0</v>
      </c>
      <c r="S7" s="32"/>
      <c r="T7" s="101" t="e">
        <f>IF(R7&lt;1,
VLOOKUP(S7&amp;1,Справка!K:N,4,0),
IF(R7&lt;=3,VLOOKUP(S7&amp;ROUNDUP(R7,0),Справка!K:N,4,0),
IF(R7&lt;=190,VLOOKUP(S7&amp;3,Справка!K:N,4,0)+ROUNDUP(R7-3,0)*IF(S7="FBO",15.25,23),
IF(R7&lt;1000,IF(S7="FBO",2918.86,4417)+(R7-190)*6,
IF(S7="FBO",7731,9277)
))
))</f>
        <v>#N/A</v>
      </c>
      <c r="U7" s="64"/>
      <c r="V7" s="66" t="str">
        <f>IFERROR(VLOOKUP($U7,Справка!$Y:$AA,2,0),"")</f>
        <v/>
      </c>
      <c r="W7" s="67" t="str">
        <f>IFERROR(VLOOKUP($U7,Справка!$Y:$AA,3,0),"")</f>
        <v/>
      </c>
      <c r="X7" s="68" t="str">
        <f t="shared" si="7"/>
        <v/>
      </c>
      <c r="Y7" s="24"/>
      <c r="Z7" s="26">
        <v>25</v>
      </c>
      <c r="AA7" s="26" t="str">
        <f t="shared" si="8"/>
        <v/>
      </c>
      <c r="AB7" s="33"/>
      <c r="AC7" s="25">
        <f t="shared" si="9"/>
        <v>0</v>
      </c>
      <c r="AD7" s="22"/>
      <c r="AE7" s="26">
        <f t="shared" si="10"/>
        <v>0</v>
      </c>
      <c r="AF7" s="27" t="str">
        <f t="shared" si="11"/>
        <v/>
      </c>
      <c r="AG7" s="16"/>
      <c r="AH7" s="25">
        <f t="shared" si="12"/>
        <v>0</v>
      </c>
      <c r="AI7" s="26">
        <f t="shared" si="13"/>
        <v>0</v>
      </c>
      <c r="AJ7" s="27" t="str">
        <f t="shared" si="14"/>
        <v/>
      </c>
      <c r="AK7" s="28"/>
      <c r="AL7" s="16"/>
      <c r="AM7" s="29" t="str">
        <f t="shared" si="15"/>
        <v/>
      </c>
      <c r="AN7" s="25" t="str">
        <f t="shared" si="16"/>
        <v/>
      </c>
      <c r="AO7" s="26" t="str">
        <f t="shared" si="17"/>
        <v/>
      </c>
      <c r="AP7" s="26" t="str">
        <f t="shared" si="18"/>
        <v/>
      </c>
      <c r="AQ7" s="30" t="str">
        <f t="shared" si="19"/>
        <v/>
      </c>
      <c r="AR7" s="30" t="str">
        <f t="shared" si="20"/>
        <v/>
      </c>
    </row>
    <row r="8" spans="1:44" s="1" customFormat="1" ht="22.2" customHeight="1" x14ac:dyDescent="0.3">
      <c r="A8" s="20"/>
      <c r="B8" s="21"/>
      <c r="C8" s="22"/>
      <c r="D8" s="22"/>
      <c r="E8" s="22"/>
      <c r="F8" s="22"/>
      <c r="G8" s="16"/>
      <c r="H8" s="23">
        <f t="shared" si="0"/>
        <v>0</v>
      </c>
      <c r="I8" s="23">
        <f t="shared" si="1"/>
        <v>0</v>
      </c>
      <c r="J8" s="21"/>
      <c r="K8" s="21"/>
      <c r="L8" s="23">
        <f t="shared" si="2"/>
        <v>0</v>
      </c>
      <c r="M8" s="23">
        <f t="shared" si="3"/>
        <v>0</v>
      </c>
      <c r="N8" s="24"/>
      <c r="O8" s="16"/>
      <c r="P8" s="23">
        <f t="shared" si="4"/>
        <v>0</v>
      </c>
      <c r="Q8" s="23">
        <f t="shared" si="5"/>
        <v>0</v>
      </c>
      <c r="R8" s="35">
        <f t="shared" si="6"/>
        <v>0</v>
      </c>
      <c r="S8" s="32"/>
      <c r="T8" s="101" t="e">
        <f>IF(R8&lt;1,
VLOOKUP(S8&amp;1,Справка!K:N,4,0),
IF(R8&lt;=3,VLOOKUP(S8&amp;ROUNDUP(R8,0),Справка!K:N,4,0),
IF(R8&lt;=190,VLOOKUP(S8&amp;3,Справка!K:N,4,0)+ROUNDUP(R8-3,0)*IF(S8="FBO",15.25,23),
IF(R8&lt;1000,IF(S8="FBO",2918.86,4417)+(R8-190)*6,
IF(S8="FBO",7731,9277)
))
))</f>
        <v>#N/A</v>
      </c>
      <c r="U8" s="64"/>
      <c r="V8" s="66" t="str">
        <f>IFERROR(VLOOKUP($U8,Справка!$Y:$AA,2,0),"")</f>
        <v/>
      </c>
      <c r="W8" s="67" t="str">
        <f>IFERROR(VLOOKUP($U8,Справка!$Y:$AA,3,0),"")</f>
        <v/>
      </c>
      <c r="X8" s="68" t="str">
        <f t="shared" si="7"/>
        <v/>
      </c>
      <c r="Y8" s="24"/>
      <c r="Z8" s="26">
        <v>25</v>
      </c>
      <c r="AA8" s="26" t="str">
        <f t="shared" si="8"/>
        <v/>
      </c>
      <c r="AB8" s="33"/>
      <c r="AC8" s="25">
        <f t="shared" si="9"/>
        <v>0</v>
      </c>
      <c r="AD8" s="22"/>
      <c r="AE8" s="26">
        <f t="shared" si="10"/>
        <v>0</v>
      </c>
      <c r="AF8" s="27" t="str">
        <f t="shared" si="11"/>
        <v/>
      </c>
      <c r="AG8" s="16"/>
      <c r="AH8" s="25">
        <f t="shared" si="12"/>
        <v>0</v>
      </c>
      <c r="AI8" s="26">
        <f t="shared" si="13"/>
        <v>0</v>
      </c>
      <c r="AJ8" s="27" t="str">
        <f t="shared" si="14"/>
        <v/>
      </c>
      <c r="AK8" s="28"/>
      <c r="AL8" s="16"/>
      <c r="AM8" s="29" t="str">
        <f t="shared" si="15"/>
        <v/>
      </c>
      <c r="AN8" s="25" t="str">
        <f t="shared" si="16"/>
        <v/>
      </c>
      <c r="AO8" s="26" t="str">
        <f t="shared" si="17"/>
        <v/>
      </c>
      <c r="AP8" s="26" t="str">
        <f t="shared" si="18"/>
        <v/>
      </c>
      <c r="AQ8" s="30" t="str">
        <f t="shared" si="19"/>
        <v/>
      </c>
      <c r="AR8" s="30" t="str">
        <f t="shared" si="20"/>
        <v/>
      </c>
    </row>
    <row r="9" spans="1:44" s="1" customFormat="1" ht="22.2" customHeight="1" x14ac:dyDescent="0.3">
      <c r="A9" s="20"/>
      <c r="B9" s="21"/>
      <c r="C9" s="22"/>
      <c r="D9" s="22"/>
      <c r="E9" s="22"/>
      <c r="F9" s="22"/>
      <c r="G9" s="16"/>
      <c r="H9" s="23">
        <f t="shared" si="0"/>
        <v>0</v>
      </c>
      <c r="I9" s="23">
        <f t="shared" si="1"/>
        <v>0</v>
      </c>
      <c r="J9" s="21"/>
      <c r="K9" s="21"/>
      <c r="L9" s="23">
        <f t="shared" si="2"/>
        <v>0</v>
      </c>
      <c r="M9" s="23">
        <f t="shared" si="3"/>
        <v>0</v>
      </c>
      <c r="N9" s="24"/>
      <c r="O9" s="16"/>
      <c r="P9" s="23">
        <f t="shared" si="4"/>
        <v>0</v>
      </c>
      <c r="Q9" s="23">
        <f t="shared" si="5"/>
        <v>0</v>
      </c>
      <c r="R9" s="35">
        <f t="shared" si="6"/>
        <v>0</v>
      </c>
      <c r="S9" s="32"/>
      <c r="T9" s="101" t="e">
        <f>IF(R9&lt;1,
VLOOKUP(S9&amp;1,Справка!K:N,4,0),
IF(R9&lt;=3,VLOOKUP(S9&amp;ROUNDUP(R9,0),Справка!K:N,4,0),
IF(R9&lt;=190,VLOOKUP(S9&amp;3,Справка!K:N,4,0)+ROUNDUP(R9-3,0)*IF(S9="FBO",15.25,23),
IF(R9&lt;1000,IF(S9="FBO",2918.86,4417)+(R9-190)*6,
IF(S9="FBO",7731,9277)
))
))</f>
        <v>#N/A</v>
      </c>
      <c r="U9" s="64"/>
      <c r="V9" s="66" t="str">
        <f>IFERROR(VLOOKUP($U9,Справка!$Y:$AA,2,0),"")</f>
        <v/>
      </c>
      <c r="W9" s="67" t="str">
        <f>IFERROR(VLOOKUP($U9,Справка!$Y:$AA,3,0),"")</f>
        <v/>
      </c>
      <c r="X9" s="68" t="str">
        <f t="shared" si="7"/>
        <v/>
      </c>
      <c r="Y9" s="24"/>
      <c r="Z9" s="26">
        <v>25</v>
      </c>
      <c r="AA9" s="26" t="str">
        <f t="shared" si="8"/>
        <v/>
      </c>
      <c r="AB9" s="33"/>
      <c r="AC9" s="25">
        <f t="shared" si="9"/>
        <v>0</v>
      </c>
      <c r="AD9" s="22"/>
      <c r="AE9" s="26">
        <f t="shared" si="10"/>
        <v>0</v>
      </c>
      <c r="AF9" s="27" t="str">
        <f t="shared" si="11"/>
        <v/>
      </c>
      <c r="AG9" s="16"/>
      <c r="AH9" s="25">
        <f t="shared" si="12"/>
        <v>0</v>
      </c>
      <c r="AI9" s="26">
        <f t="shared" si="13"/>
        <v>0</v>
      </c>
      <c r="AJ9" s="27" t="str">
        <f t="shared" si="14"/>
        <v/>
      </c>
      <c r="AK9" s="28"/>
      <c r="AL9" s="16"/>
      <c r="AM9" s="29" t="str">
        <f t="shared" si="15"/>
        <v/>
      </c>
      <c r="AN9" s="25" t="str">
        <f t="shared" si="16"/>
        <v/>
      </c>
      <c r="AO9" s="26" t="str">
        <f t="shared" si="17"/>
        <v/>
      </c>
      <c r="AP9" s="26" t="str">
        <f t="shared" si="18"/>
        <v/>
      </c>
      <c r="AQ9" s="30" t="str">
        <f t="shared" si="19"/>
        <v/>
      </c>
      <c r="AR9" s="30" t="str">
        <f t="shared" si="20"/>
        <v/>
      </c>
    </row>
    <row r="10" spans="1:44" s="1" customFormat="1" ht="22.2" customHeight="1" x14ac:dyDescent="0.3">
      <c r="A10" s="20"/>
      <c r="B10" s="21"/>
      <c r="C10" s="22"/>
      <c r="D10" s="22"/>
      <c r="E10" s="22"/>
      <c r="F10" s="22"/>
      <c r="G10" s="16"/>
      <c r="H10" s="23">
        <f t="shared" si="0"/>
        <v>0</v>
      </c>
      <c r="I10" s="23">
        <f t="shared" si="1"/>
        <v>0</v>
      </c>
      <c r="J10" s="21"/>
      <c r="K10" s="21"/>
      <c r="L10" s="23">
        <f t="shared" si="2"/>
        <v>0</v>
      </c>
      <c r="M10" s="23">
        <f t="shared" si="3"/>
        <v>0</v>
      </c>
      <c r="N10" s="24"/>
      <c r="O10" s="16"/>
      <c r="P10" s="23">
        <f t="shared" si="4"/>
        <v>0</v>
      </c>
      <c r="Q10" s="23">
        <f t="shared" si="5"/>
        <v>0</v>
      </c>
      <c r="R10" s="35">
        <f t="shared" si="6"/>
        <v>0</v>
      </c>
      <c r="S10" s="32"/>
      <c r="T10" s="101" t="e">
        <f>IF(R10&lt;1,
VLOOKUP(S10&amp;1,Справка!K:N,4,0),
IF(R10&lt;=3,VLOOKUP(S10&amp;ROUNDUP(R10,0),Справка!K:N,4,0),
IF(R10&lt;=190,VLOOKUP(S10&amp;3,Справка!K:N,4,0)+ROUNDUP(R10-3,0)*IF(S10="FBO",15.25,23),
IF(R10&lt;1000,IF(S10="FBO",2918.86,4417)+(R10-190)*6,
IF(S10="FBO",7731,9277)
))
))</f>
        <v>#N/A</v>
      </c>
      <c r="U10" s="64"/>
      <c r="V10" s="66" t="str">
        <f>IFERROR(VLOOKUP($U10,Справка!$Y:$AA,2,0),"")</f>
        <v/>
      </c>
      <c r="W10" s="67" t="str">
        <f>IFERROR(VLOOKUP($U10,Справка!$Y:$AA,3,0),"")</f>
        <v/>
      </c>
      <c r="X10" s="68" t="str">
        <f t="shared" si="7"/>
        <v/>
      </c>
      <c r="Y10" s="24"/>
      <c r="Z10" s="26">
        <v>25</v>
      </c>
      <c r="AA10" s="26" t="str">
        <f t="shared" si="8"/>
        <v/>
      </c>
      <c r="AB10" s="33"/>
      <c r="AC10" s="25">
        <f t="shared" si="9"/>
        <v>0</v>
      </c>
      <c r="AD10" s="22"/>
      <c r="AE10" s="26">
        <f t="shared" si="10"/>
        <v>0</v>
      </c>
      <c r="AF10" s="27" t="str">
        <f t="shared" si="11"/>
        <v/>
      </c>
      <c r="AG10" s="16"/>
      <c r="AH10" s="25">
        <f t="shared" si="12"/>
        <v>0</v>
      </c>
      <c r="AI10" s="26">
        <f t="shared" si="13"/>
        <v>0</v>
      </c>
      <c r="AJ10" s="27" t="str">
        <f t="shared" si="14"/>
        <v/>
      </c>
      <c r="AK10" s="28"/>
      <c r="AL10" s="16"/>
      <c r="AM10" s="29" t="str">
        <f t="shared" si="15"/>
        <v/>
      </c>
      <c r="AN10" s="25" t="str">
        <f t="shared" si="16"/>
        <v/>
      </c>
      <c r="AO10" s="26" t="str">
        <f t="shared" si="17"/>
        <v/>
      </c>
      <c r="AP10" s="26" t="str">
        <f t="shared" si="18"/>
        <v/>
      </c>
      <c r="AQ10" s="30" t="str">
        <f t="shared" si="19"/>
        <v/>
      </c>
      <c r="AR10" s="30" t="str">
        <f t="shared" si="20"/>
        <v/>
      </c>
    </row>
    <row r="11" spans="1:44" s="1" customFormat="1" ht="22.2" customHeight="1" x14ac:dyDescent="0.3">
      <c r="A11" s="20"/>
      <c r="B11" s="21"/>
      <c r="C11" s="22"/>
      <c r="D11" s="22"/>
      <c r="E11" s="22"/>
      <c r="F11" s="22"/>
      <c r="G11" s="16"/>
      <c r="H11" s="23">
        <f t="shared" si="0"/>
        <v>0</v>
      </c>
      <c r="I11" s="23">
        <f t="shared" si="1"/>
        <v>0</v>
      </c>
      <c r="J11" s="21"/>
      <c r="K11" s="21"/>
      <c r="L11" s="23">
        <f t="shared" si="2"/>
        <v>0</v>
      </c>
      <c r="M11" s="23">
        <f t="shared" si="3"/>
        <v>0</v>
      </c>
      <c r="N11" s="24"/>
      <c r="O11" s="16"/>
      <c r="P11" s="23">
        <f t="shared" si="4"/>
        <v>0</v>
      </c>
      <c r="Q11" s="23">
        <f t="shared" si="5"/>
        <v>0</v>
      </c>
      <c r="R11" s="35">
        <f t="shared" si="6"/>
        <v>0</v>
      </c>
      <c r="S11" s="32"/>
      <c r="T11" s="101" t="e">
        <f>IF(R11&lt;1,
VLOOKUP(S11&amp;1,Справка!K:N,4,0),
IF(R11&lt;=3,VLOOKUP(S11&amp;ROUNDUP(R11,0),Справка!K:N,4,0),
IF(R11&lt;=190,VLOOKUP(S11&amp;3,Справка!K:N,4,0)+ROUNDUP(R11-3,0)*IF(S11="FBO",15.25,23),
IF(R11&lt;1000,IF(S11="FBO",2918.86,4417)+(R11-190)*6,
IF(S11="FBO",7731,9277)
))
))</f>
        <v>#N/A</v>
      </c>
      <c r="U11" s="64"/>
      <c r="V11" s="66" t="str">
        <f>IFERROR(VLOOKUP($U11,Справка!$Y:$AA,2,0),"")</f>
        <v/>
      </c>
      <c r="W11" s="67" t="str">
        <f>IFERROR(VLOOKUP($U11,Справка!$Y:$AA,3,0),"")</f>
        <v/>
      </c>
      <c r="X11" s="68" t="str">
        <f t="shared" si="7"/>
        <v/>
      </c>
      <c r="Y11" s="24"/>
      <c r="Z11" s="26">
        <v>25</v>
      </c>
      <c r="AA11" s="26" t="str">
        <f t="shared" si="8"/>
        <v/>
      </c>
      <c r="AB11" s="33"/>
      <c r="AC11" s="25">
        <f t="shared" si="9"/>
        <v>0</v>
      </c>
      <c r="AD11" s="22"/>
      <c r="AE11" s="26">
        <f t="shared" si="10"/>
        <v>0</v>
      </c>
      <c r="AF11" s="27" t="str">
        <f t="shared" si="11"/>
        <v/>
      </c>
      <c r="AG11" s="16"/>
      <c r="AH11" s="25">
        <f t="shared" si="12"/>
        <v>0</v>
      </c>
      <c r="AI11" s="26">
        <f t="shared" si="13"/>
        <v>0</v>
      </c>
      <c r="AJ11" s="27" t="str">
        <f t="shared" si="14"/>
        <v/>
      </c>
      <c r="AK11" s="28"/>
      <c r="AL11" s="16"/>
      <c r="AM11" s="29" t="str">
        <f t="shared" si="15"/>
        <v/>
      </c>
      <c r="AN11" s="25" t="str">
        <f t="shared" si="16"/>
        <v/>
      </c>
      <c r="AO11" s="26" t="str">
        <f t="shared" si="17"/>
        <v/>
      </c>
      <c r="AP11" s="26" t="str">
        <f t="shared" si="18"/>
        <v/>
      </c>
      <c r="AQ11" s="30" t="str">
        <f t="shared" si="19"/>
        <v/>
      </c>
      <c r="AR11" s="30" t="str">
        <f t="shared" si="20"/>
        <v/>
      </c>
    </row>
    <row r="12" spans="1:44" s="1" customFormat="1" ht="22.2" customHeight="1" x14ac:dyDescent="0.3">
      <c r="A12" s="20"/>
      <c r="B12" s="21"/>
      <c r="C12" s="22"/>
      <c r="D12" s="22"/>
      <c r="E12" s="22"/>
      <c r="F12" s="22"/>
      <c r="G12" s="16"/>
      <c r="H12" s="23">
        <f t="shared" si="0"/>
        <v>0</v>
      </c>
      <c r="I12" s="23">
        <f t="shared" si="1"/>
        <v>0</v>
      </c>
      <c r="J12" s="21"/>
      <c r="K12" s="21"/>
      <c r="L12" s="23">
        <f t="shared" si="2"/>
        <v>0</v>
      </c>
      <c r="M12" s="23">
        <f t="shared" si="3"/>
        <v>0</v>
      </c>
      <c r="N12" s="24"/>
      <c r="O12" s="16"/>
      <c r="P12" s="23">
        <f t="shared" si="4"/>
        <v>0</v>
      </c>
      <c r="Q12" s="23">
        <f t="shared" si="5"/>
        <v>0</v>
      </c>
      <c r="R12" s="35">
        <f t="shared" si="6"/>
        <v>0</v>
      </c>
      <c r="S12" s="32"/>
      <c r="T12" s="101" t="e">
        <f>IF(R12&lt;1,
VLOOKUP(S12&amp;1,Справка!K:N,4,0),
IF(R12&lt;=3,VLOOKUP(S12&amp;ROUNDUP(R12,0),Справка!K:N,4,0),
IF(R12&lt;=190,VLOOKUP(S12&amp;3,Справка!K:N,4,0)+ROUNDUP(R12-3,0)*IF(S12="FBO",15.25,23),
IF(R12&lt;1000,IF(S12="FBO",2918.86,4417)+(R12-190)*6,
IF(S12="FBO",7731,9277)
))
))</f>
        <v>#N/A</v>
      </c>
      <c r="U12" s="64"/>
      <c r="V12" s="66" t="str">
        <f>IFERROR(VLOOKUP($U12,Справка!$Y:$AA,2,0),"")</f>
        <v/>
      </c>
      <c r="W12" s="67" t="str">
        <f>IFERROR(VLOOKUP($U12,Справка!$Y:$AA,3,0),"")</f>
        <v/>
      </c>
      <c r="X12" s="68" t="str">
        <f t="shared" si="7"/>
        <v/>
      </c>
      <c r="Y12" s="24"/>
      <c r="Z12" s="26">
        <v>25</v>
      </c>
      <c r="AA12" s="26" t="str">
        <f t="shared" si="8"/>
        <v/>
      </c>
      <c r="AB12" s="33"/>
      <c r="AC12" s="25">
        <f t="shared" si="9"/>
        <v>0</v>
      </c>
      <c r="AD12" s="22"/>
      <c r="AE12" s="26">
        <f t="shared" si="10"/>
        <v>0</v>
      </c>
      <c r="AF12" s="27" t="str">
        <f t="shared" si="11"/>
        <v/>
      </c>
      <c r="AG12" s="16"/>
      <c r="AH12" s="25">
        <f t="shared" si="12"/>
        <v>0</v>
      </c>
      <c r="AI12" s="26">
        <f t="shared" si="13"/>
        <v>0</v>
      </c>
      <c r="AJ12" s="27" t="str">
        <f t="shared" si="14"/>
        <v/>
      </c>
      <c r="AK12" s="28"/>
      <c r="AL12" s="16"/>
      <c r="AM12" s="29" t="str">
        <f t="shared" si="15"/>
        <v/>
      </c>
      <c r="AN12" s="25" t="str">
        <f t="shared" si="16"/>
        <v/>
      </c>
      <c r="AO12" s="26" t="str">
        <f t="shared" si="17"/>
        <v/>
      </c>
      <c r="AP12" s="26" t="str">
        <f t="shared" si="18"/>
        <v/>
      </c>
      <c r="AQ12" s="30" t="str">
        <f t="shared" si="19"/>
        <v/>
      </c>
      <c r="AR12" s="30" t="str">
        <f t="shared" si="20"/>
        <v/>
      </c>
    </row>
    <row r="13" spans="1:44" s="1" customFormat="1" ht="22.2" customHeight="1" x14ac:dyDescent="0.3">
      <c r="A13" s="20"/>
      <c r="B13" s="21"/>
      <c r="C13" s="22"/>
      <c r="D13" s="22"/>
      <c r="E13" s="22"/>
      <c r="F13" s="22"/>
      <c r="G13" s="16"/>
      <c r="H13" s="23">
        <f t="shared" si="0"/>
        <v>0</v>
      </c>
      <c r="I13" s="23">
        <f t="shared" si="1"/>
        <v>0</v>
      </c>
      <c r="J13" s="21"/>
      <c r="K13" s="21"/>
      <c r="L13" s="23">
        <f t="shared" si="2"/>
        <v>0</v>
      </c>
      <c r="M13" s="23">
        <f t="shared" si="3"/>
        <v>0</v>
      </c>
      <c r="N13" s="24"/>
      <c r="O13" s="16"/>
      <c r="P13" s="23">
        <f t="shared" si="4"/>
        <v>0</v>
      </c>
      <c r="Q13" s="23">
        <f t="shared" si="5"/>
        <v>0</v>
      </c>
      <c r="R13" s="35">
        <f t="shared" si="6"/>
        <v>0</v>
      </c>
      <c r="S13" s="32"/>
      <c r="T13" s="101" t="e">
        <f>IF(R13&lt;1,
VLOOKUP(S13&amp;1,Справка!K:N,4,0),
IF(R13&lt;=3,VLOOKUP(S13&amp;ROUNDUP(R13,0),Справка!K:N,4,0),
IF(R13&lt;=190,VLOOKUP(S13&amp;3,Справка!K:N,4,0)+ROUNDUP(R13-3,0)*IF(S13="FBO",15.25,23),
IF(R13&lt;1000,IF(S13="FBO",2918.86,4417)+(R13-190)*6,
IF(S13="FBO",7731,9277)
))
))</f>
        <v>#N/A</v>
      </c>
      <c r="U13" s="64"/>
      <c r="V13" s="66" t="str">
        <f>IFERROR(VLOOKUP($U13,Справка!$Y:$AA,2,0),"")</f>
        <v/>
      </c>
      <c r="W13" s="67" t="str">
        <f>IFERROR(VLOOKUP($U13,Справка!$Y:$AA,3,0),"")</f>
        <v/>
      </c>
      <c r="X13" s="68" t="str">
        <f t="shared" si="7"/>
        <v/>
      </c>
      <c r="Y13" s="24"/>
      <c r="Z13" s="26">
        <v>25</v>
      </c>
      <c r="AA13" s="26" t="str">
        <f t="shared" si="8"/>
        <v/>
      </c>
      <c r="AB13" s="33"/>
      <c r="AC13" s="25">
        <f t="shared" si="9"/>
        <v>0</v>
      </c>
      <c r="AD13" s="22"/>
      <c r="AE13" s="26">
        <f t="shared" si="10"/>
        <v>0</v>
      </c>
      <c r="AF13" s="27" t="str">
        <f t="shared" si="11"/>
        <v/>
      </c>
      <c r="AG13" s="16"/>
      <c r="AH13" s="25">
        <f t="shared" si="12"/>
        <v>0</v>
      </c>
      <c r="AI13" s="26">
        <f t="shared" si="13"/>
        <v>0</v>
      </c>
      <c r="AJ13" s="27" t="str">
        <f t="shared" si="14"/>
        <v/>
      </c>
      <c r="AK13" s="28"/>
      <c r="AL13" s="16"/>
      <c r="AM13" s="29" t="str">
        <f t="shared" si="15"/>
        <v/>
      </c>
      <c r="AN13" s="25" t="str">
        <f t="shared" si="16"/>
        <v/>
      </c>
      <c r="AO13" s="26" t="str">
        <f t="shared" si="17"/>
        <v/>
      </c>
      <c r="AP13" s="26" t="str">
        <f t="shared" si="18"/>
        <v/>
      </c>
      <c r="AQ13" s="30" t="str">
        <f t="shared" si="19"/>
        <v/>
      </c>
      <c r="AR13" s="30" t="str">
        <f t="shared" si="20"/>
        <v/>
      </c>
    </row>
    <row r="14" spans="1:44" s="1" customFormat="1" ht="22.2" customHeight="1" x14ac:dyDescent="0.3">
      <c r="A14" s="20"/>
      <c r="B14" s="21"/>
      <c r="C14" s="22"/>
      <c r="D14" s="22"/>
      <c r="E14" s="22"/>
      <c r="F14" s="22"/>
      <c r="G14" s="16"/>
      <c r="H14" s="23">
        <f t="shared" si="0"/>
        <v>0</v>
      </c>
      <c r="I14" s="23">
        <f t="shared" si="1"/>
        <v>0</v>
      </c>
      <c r="J14" s="21"/>
      <c r="K14" s="21"/>
      <c r="L14" s="23">
        <f t="shared" si="2"/>
        <v>0</v>
      </c>
      <c r="M14" s="23">
        <f t="shared" si="3"/>
        <v>0</v>
      </c>
      <c r="N14" s="24"/>
      <c r="O14" s="16"/>
      <c r="P14" s="23">
        <f t="shared" si="4"/>
        <v>0</v>
      </c>
      <c r="Q14" s="23">
        <f t="shared" si="5"/>
        <v>0</v>
      </c>
      <c r="R14" s="35">
        <f t="shared" si="6"/>
        <v>0</v>
      </c>
      <c r="S14" s="32"/>
      <c r="T14" s="101" t="e">
        <f>IF(R14&lt;1,
VLOOKUP(S14&amp;1,Справка!K:N,4,0),
IF(R14&lt;=3,VLOOKUP(S14&amp;ROUNDUP(R14,0),Справка!K:N,4,0),
IF(R14&lt;=190,VLOOKUP(S14&amp;3,Справка!K:N,4,0)+ROUNDUP(R14-3,0)*IF(S14="FBO",15.25,23),
IF(R14&lt;1000,IF(S14="FBO",2918.86,4417)+(R14-190)*6,
IF(S14="FBO",7731,9277)
))
))</f>
        <v>#N/A</v>
      </c>
      <c r="U14" s="64"/>
      <c r="V14" s="66" t="str">
        <f>IFERROR(VLOOKUP($U14,Справка!$Y:$AA,2,0),"")</f>
        <v/>
      </c>
      <c r="W14" s="67" t="str">
        <f>IFERROR(VLOOKUP($U14,Справка!$Y:$AA,3,0),"")</f>
        <v/>
      </c>
      <c r="X14" s="68" t="str">
        <f t="shared" si="7"/>
        <v/>
      </c>
      <c r="Y14" s="24"/>
      <c r="Z14" s="26">
        <v>25</v>
      </c>
      <c r="AA14" s="26" t="str">
        <f t="shared" si="8"/>
        <v/>
      </c>
      <c r="AB14" s="33"/>
      <c r="AC14" s="25">
        <f t="shared" si="9"/>
        <v>0</v>
      </c>
      <c r="AD14" s="22"/>
      <c r="AE14" s="26">
        <f t="shared" si="10"/>
        <v>0</v>
      </c>
      <c r="AF14" s="27" t="str">
        <f t="shared" si="11"/>
        <v/>
      </c>
      <c r="AG14" s="16"/>
      <c r="AH14" s="25">
        <f t="shared" si="12"/>
        <v>0</v>
      </c>
      <c r="AI14" s="26">
        <f t="shared" si="13"/>
        <v>0</v>
      </c>
      <c r="AJ14" s="27" t="str">
        <f t="shared" si="14"/>
        <v/>
      </c>
      <c r="AK14" s="28"/>
      <c r="AL14" s="16"/>
      <c r="AM14" s="29" t="str">
        <f t="shared" si="15"/>
        <v/>
      </c>
      <c r="AN14" s="25" t="str">
        <f t="shared" si="16"/>
        <v/>
      </c>
      <c r="AO14" s="26" t="str">
        <f t="shared" si="17"/>
        <v/>
      </c>
      <c r="AP14" s="26" t="str">
        <f t="shared" si="18"/>
        <v/>
      </c>
      <c r="AQ14" s="30" t="str">
        <f t="shared" si="19"/>
        <v/>
      </c>
      <c r="AR14" s="30" t="str">
        <f t="shared" si="20"/>
        <v/>
      </c>
    </row>
    <row r="15" spans="1:44" s="1" customFormat="1" ht="22.2" customHeight="1" x14ac:dyDescent="0.3">
      <c r="A15" s="20"/>
      <c r="B15" s="21"/>
      <c r="C15" s="22"/>
      <c r="D15" s="22"/>
      <c r="E15" s="22"/>
      <c r="F15" s="22"/>
      <c r="G15" s="16"/>
      <c r="H15" s="23">
        <f t="shared" si="0"/>
        <v>0</v>
      </c>
      <c r="I15" s="23">
        <f t="shared" si="1"/>
        <v>0</v>
      </c>
      <c r="J15" s="21"/>
      <c r="K15" s="21"/>
      <c r="L15" s="23">
        <f t="shared" si="2"/>
        <v>0</v>
      </c>
      <c r="M15" s="23">
        <f t="shared" si="3"/>
        <v>0</v>
      </c>
      <c r="N15" s="24"/>
      <c r="O15" s="16"/>
      <c r="P15" s="23">
        <f t="shared" si="4"/>
        <v>0</v>
      </c>
      <c r="Q15" s="23">
        <f t="shared" si="5"/>
        <v>0</v>
      </c>
      <c r="R15" s="35">
        <f t="shared" si="6"/>
        <v>0</v>
      </c>
      <c r="S15" s="32"/>
      <c r="T15" s="101" t="e">
        <f>IF(R15&lt;1,
VLOOKUP(S15&amp;1,Справка!K:N,4,0),
IF(R15&lt;=3,VLOOKUP(S15&amp;ROUNDUP(R15,0),Справка!K:N,4,0),
IF(R15&lt;=190,VLOOKUP(S15&amp;3,Справка!K:N,4,0)+ROUNDUP(R15-3,0)*IF(S15="FBO",15.25,23),
IF(R15&lt;1000,IF(S15="FBO",2918.86,4417)+(R15-190)*6,
IF(S15="FBO",7731,9277)
))
))</f>
        <v>#N/A</v>
      </c>
      <c r="U15" s="64"/>
      <c r="V15" s="66" t="str">
        <f>IFERROR(VLOOKUP($U15,Справка!$Y:$AA,2,0),"")</f>
        <v/>
      </c>
      <c r="W15" s="67" t="str">
        <f>IFERROR(VLOOKUP($U15,Справка!$Y:$AA,3,0),"")</f>
        <v/>
      </c>
      <c r="X15" s="68" t="str">
        <f t="shared" si="7"/>
        <v/>
      </c>
      <c r="Y15" s="24"/>
      <c r="Z15" s="26">
        <v>25</v>
      </c>
      <c r="AA15" s="26" t="str">
        <f t="shared" si="8"/>
        <v/>
      </c>
      <c r="AB15" s="33"/>
      <c r="AC15" s="25">
        <f t="shared" si="9"/>
        <v>0</v>
      </c>
      <c r="AD15" s="22"/>
      <c r="AE15" s="26">
        <f t="shared" si="10"/>
        <v>0</v>
      </c>
      <c r="AF15" s="27" t="str">
        <f t="shared" si="11"/>
        <v/>
      </c>
      <c r="AG15" s="16"/>
      <c r="AH15" s="25">
        <f t="shared" si="12"/>
        <v>0</v>
      </c>
      <c r="AI15" s="26">
        <f t="shared" si="13"/>
        <v>0</v>
      </c>
      <c r="AJ15" s="27" t="str">
        <f t="shared" si="14"/>
        <v/>
      </c>
      <c r="AK15" s="28"/>
      <c r="AL15" s="16"/>
      <c r="AM15" s="29" t="str">
        <f t="shared" si="15"/>
        <v/>
      </c>
      <c r="AN15" s="25" t="str">
        <f t="shared" si="16"/>
        <v/>
      </c>
      <c r="AO15" s="26" t="str">
        <f t="shared" si="17"/>
        <v/>
      </c>
      <c r="AP15" s="26" t="str">
        <f t="shared" si="18"/>
        <v/>
      </c>
      <c r="AQ15" s="30" t="str">
        <f t="shared" si="19"/>
        <v/>
      </c>
      <c r="AR15" s="30" t="str">
        <f t="shared" si="20"/>
        <v/>
      </c>
    </row>
    <row r="16" spans="1:44" s="1" customFormat="1" ht="22.2" customHeight="1" x14ac:dyDescent="0.3">
      <c r="A16" s="20"/>
      <c r="B16" s="21"/>
      <c r="C16" s="22"/>
      <c r="D16" s="22"/>
      <c r="E16" s="22"/>
      <c r="F16" s="22"/>
      <c r="G16" s="16"/>
      <c r="H16" s="23">
        <f t="shared" si="0"/>
        <v>0</v>
      </c>
      <c r="I16" s="23">
        <f t="shared" si="1"/>
        <v>0</v>
      </c>
      <c r="J16" s="21"/>
      <c r="K16" s="21"/>
      <c r="L16" s="23">
        <f t="shared" si="2"/>
        <v>0</v>
      </c>
      <c r="M16" s="23">
        <f t="shared" si="3"/>
        <v>0</v>
      </c>
      <c r="N16" s="24"/>
      <c r="O16" s="16"/>
      <c r="P16" s="23">
        <f t="shared" si="4"/>
        <v>0</v>
      </c>
      <c r="Q16" s="23">
        <f t="shared" si="5"/>
        <v>0</v>
      </c>
      <c r="R16" s="35">
        <f t="shared" si="6"/>
        <v>0</v>
      </c>
      <c r="S16" s="32"/>
      <c r="T16" s="101" t="e">
        <f>IF(R16&lt;1,
VLOOKUP(S16&amp;1,Справка!K:N,4,0),
IF(R16&lt;=3,VLOOKUP(S16&amp;ROUNDUP(R16,0),Справка!K:N,4,0),
IF(R16&lt;=190,VLOOKUP(S16&amp;3,Справка!K:N,4,0)+ROUNDUP(R16-3,0)*IF(S16="FBO",15.25,23),
IF(R16&lt;1000,IF(S16="FBO",2918.86,4417)+(R16-190)*6,
IF(S16="FBO",7731,9277)
))
))</f>
        <v>#N/A</v>
      </c>
      <c r="U16" s="64"/>
      <c r="V16" s="66" t="str">
        <f>IFERROR(VLOOKUP($U16,Справка!$Y:$AA,2,0),"")</f>
        <v/>
      </c>
      <c r="W16" s="67" t="str">
        <f>IFERROR(VLOOKUP($U16,Справка!$Y:$AA,3,0),"")</f>
        <v/>
      </c>
      <c r="X16" s="68" t="str">
        <f t="shared" si="7"/>
        <v/>
      </c>
      <c r="Y16" s="24"/>
      <c r="Z16" s="26">
        <v>25</v>
      </c>
      <c r="AA16" s="26" t="str">
        <f t="shared" si="8"/>
        <v/>
      </c>
      <c r="AB16" s="33"/>
      <c r="AC16" s="25">
        <f t="shared" si="9"/>
        <v>0</v>
      </c>
      <c r="AD16" s="22"/>
      <c r="AE16" s="26">
        <f t="shared" si="10"/>
        <v>0</v>
      </c>
      <c r="AF16" s="27" t="str">
        <f t="shared" si="11"/>
        <v/>
      </c>
      <c r="AG16" s="16"/>
      <c r="AH16" s="25">
        <f t="shared" si="12"/>
        <v>0</v>
      </c>
      <c r="AI16" s="26">
        <f t="shared" si="13"/>
        <v>0</v>
      </c>
      <c r="AJ16" s="27" t="str">
        <f t="shared" si="14"/>
        <v/>
      </c>
      <c r="AK16" s="28"/>
      <c r="AL16" s="16"/>
      <c r="AM16" s="29" t="str">
        <f t="shared" si="15"/>
        <v/>
      </c>
      <c r="AN16" s="25" t="str">
        <f t="shared" si="16"/>
        <v/>
      </c>
      <c r="AO16" s="26" t="str">
        <f t="shared" si="17"/>
        <v/>
      </c>
      <c r="AP16" s="26" t="str">
        <f t="shared" si="18"/>
        <v/>
      </c>
      <c r="AQ16" s="30" t="str">
        <f t="shared" si="19"/>
        <v/>
      </c>
      <c r="AR16" s="30" t="str">
        <f t="shared" si="20"/>
        <v/>
      </c>
    </row>
    <row r="17" spans="1:44" s="1" customFormat="1" ht="22.2" customHeight="1" x14ac:dyDescent="0.3">
      <c r="A17" s="20"/>
      <c r="B17" s="21"/>
      <c r="C17" s="22"/>
      <c r="D17" s="22"/>
      <c r="E17" s="22"/>
      <c r="F17" s="22"/>
      <c r="G17" s="16"/>
      <c r="H17" s="23">
        <f t="shared" si="0"/>
        <v>0</v>
      </c>
      <c r="I17" s="23">
        <f t="shared" si="1"/>
        <v>0</v>
      </c>
      <c r="J17" s="21"/>
      <c r="K17" s="21"/>
      <c r="L17" s="23">
        <f t="shared" si="2"/>
        <v>0</v>
      </c>
      <c r="M17" s="23">
        <f t="shared" si="3"/>
        <v>0</v>
      </c>
      <c r="N17" s="24"/>
      <c r="O17" s="16"/>
      <c r="P17" s="23">
        <f t="shared" si="4"/>
        <v>0</v>
      </c>
      <c r="Q17" s="23">
        <f t="shared" si="5"/>
        <v>0</v>
      </c>
      <c r="R17" s="35">
        <f t="shared" si="6"/>
        <v>0</v>
      </c>
      <c r="S17" s="32"/>
      <c r="T17" s="101" t="e">
        <f>IF(R17&lt;1,
VLOOKUP(S17&amp;1,Справка!K:N,4,0),
IF(R17&lt;=3,VLOOKUP(S17&amp;ROUNDUP(R17,0),Справка!K:N,4,0),
IF(R17&lt;=190,VLOOKUP(S17&amp;3,Справка!K:N,4,0)+ROUNDUP(R17-3,0)*IF(S17="FBO",15.25,23),
IF(R17&lt;1000,IF(S17="FBO",2918.86,4417)+(R17-190)*6,
IF(S17="FBO",7731,9277)
))
))</f>
        <v>#N/A</v>
      </c>
      <c r="U17" s="64"/>
      <c r="V17" s="66" t="str">
        <f>IFERROR(VLOOKUP($U17,Справка!$Y:$AA,2,0),"")</f>
        <v/>
      </c>
      <c r="W17" s="67" t="str">
        <f>IFERROR(VLOOKUP($U17,Справка!$Y:$AA,3,0),"")</f>
        <v/>
      </c>
      <c r="X17" s="68" t="str">
        <f t="shared" si="7"/>
        <v/>
      </c>
      <c r="Y17" s="24"/>
      <c r="Z17" s="26">
        <v>25</v>
      </c>
      <c r="AA17" s="26" t="str">
        <f t="shared" si="8"/>
        <v/>
      </c>
      <c r="AB17" s="33"/>
      <c r="AC17" s="25">
        <f t="shared" si="9"/>
        <v>0</v>
      </c>
      <c r="AD17" s="22"/>
      <c r="AE17" s="26">
        <f t="shared" si="10"/>
        <v>0</v>
      </c>
      <c r="AF17" s="27" t="str">
        <f t="shared" si="11"/>
        <v/>
      </c>
      <c r="AG17" s="16"/>
      <c r="AH17" s="25">
        <f t="shared" si="12"/>
        <v>0</v>
      </c>
      <c r="AI17" s="26">
        <f t="shared" si="13"/>
        <v>0</v>
      </c>
      <c r="AJ17" s="27" t="str">
        <f t="shared" si="14"/>
        <v/>
      </c>
      <c r="AK17" s="28"/>
      <c r="AL17" s="16"/>
      <c r="AM17" s="29" t="str">
        <f t="shared" si="15"/>
        <v/>
      </c>
      <c r="AN17" s="25" t="str">
        <f t="shared" si="16"/>
        <v/>
      </c>
      <c r="AO17" s="26" t="str">
        <f t="shared" si="17"/>
        <v/>
      </c>
      <c r="AP17" s="26" t="str">
        <f t="shared" si="18"/>
        <v/>
      </c>
      <c r="AQ17" s="30" t="str">
        <f t="shared" si="19"/>
        <v/>
      </c>
      <c r="AR17" s="30" t="str">
        <f t="shared" si="20"/>
        <v/>
      </c>
    </row>
    <row r="18" spans="1:44" s="1" customFormat="1" ht="22.2" customHeight="1" x14ac:dyDescent="0.3">
      <c r="A18" s="20"/>
      <c r="B18" s="21"/>
      <c r="C18" s="22"/>
      <c r="D18" s="22"/>
      <c r="E18" s="22"/>
      <c r="F18" s="22"/>
      <c r="G18" s="16"/>
      <c r="H18" s="23">
        <f t="shared" si="0"/>
        <v>0</v>
      </c>
      <c r="I18" s="23">
        <f t="shared" si="1"/>
        <v>0</v>
      </c>
      <c r="J18" s="21"/>
      <c r="K18" s="21"/>
      <c r="L18" s="23">
        <f t="shared" si="2"/>
        <v>0</v>
      </c>
      <c r="M18" s="23">
        <f t="shared" si="3"/>
        <v>0</v>
      </c>
      <c r="N18" s="24"/>
      <c r="O18" s="16"/>
      <c r="P18" s="23">
        <f t="shared" si="4"/>
        <v>0</v>
      </c>
      <c r="Q18" s="23">
        <f t="shared" si="5"/>
        <v>0</v>
      </c>
      <c r="R18" s="35">
        <f t="shared" si="6"/>
        <v>0</v>
      </c>
      <c r="S18" s="32"/>
      <c r="T18" s="101" t="e">
        <f>IF(R18&lt;1,
VLOOKUP(S18&amp;1,Справка!K:N,4,0),
IF(R18&lt;=3,VLOOKUP(S18&amp;ROUNDUP(R18,0),Справка!K:N,4,0),
IF(R18&lt;=190,VLOOKUP(S18&amp;3,Справка!K:N,4,0)+ROUNDUP(R18-3,0)*IF(S18="FBO",15.25,23),
IF(R18&lt;1000,IF(S18="FBO",2918.86,4417)+(R18-190)*6,
IF(S18="FBO",7731,9277)
))
))</f>
        <v>#N/A</v>
      </c>
      <c r="U18" s="64"/>
      <c r="V18" s="66" t="str">
        <f>IFERROR(VLOOKUP($U18,Справка!$Y:$AA,2,0),"")</f>
        <v/>
      </c>
      <c r="W18" s="67" t="str">
        <f>IFERROR(VLOOKUP($U18,Справка!$Y:$AA,3,0),"")</f>
        <v/>
      </c>
      <c r="X18" s="68" t="str">
        <f t="shared" si="7"/>
        <v/>
      </c>
      <c r="Y18" s="24"/>
      <c r="Z18" s="26">
        <v>25</v>
      </c>
      <c r="AA18" s="26" t="str">
        <f t="shared" si="8"/>
        <v/>
      </c>
      <c r="AB18" s="33"/>
      <c r="AC18" s="25">
        <f t="shared" si="9"/>
        <v>0</v>
      </c>
      <c r="AD18" s="22"/>
      <c r="AE18" s="26">
        <f t="shared" si="10"/>
        <v>0</v>
      </c>
      <c r="AF18" s="27" t="str">
        <f t="shared" si="11"/>
        <v/>
      </c>
      <c r="AG18" s="16"/>
      <c r="AH18" s="25">
        <f t="shared" si="12"/>
        <v>0</v>
      </c>
      <c r="AI18" s="26">
        <f t="shared" si="13"/>
        <v>0</v>
      </c>
      <c r="AJ18" s="27" t="str">
        <f t="shared" si="14"/>
        <v/>
      </c>
      <c r="AK18" s="28"/>
      <c r="AL18" s="16"/>
      <c r="AM18" s="29" t="str">
        <f t="shared" si="15"/>
        <v/>
      </c>
      <c r="AN18" s="25" t="str">
        <f t="shared" si="16"/>
        <v/>
      </c>
      <c r="AO18" s="26" t="str">
        <f t="shared" si="17"/>
        <v/>
      </c>
      <c r="AP18" s="26" t="str">
        <f t="shared" si="18"/>
        <v/>
      </c>
      <c r="AQ18" s="30" t="str">
        <f t="shared" si="19"/>
        <v/>
      </c>
      <c r="AR18" s="30" t="str">
        <f t="shared" si="20"/>
        <v/>
      </c>
    </row>
    <row r="19" spans="1:44" s="1" customFormat="1" ht="22.2" customHeight="1" x14ac:dyDescent="0.3">
      <c r="A19" s="20"/>
      <c r="B19" s="21"/>
      <c r="C19" s="22"/>
      <c r="D19" s="22"/>
      <c r="E19" s="22"/>
      <c r="F19" s="22"/>
      <c r="G19" s="16"/>
      <c r="H19" s="23">
        <f t="shared" si="0"/>
        <v>0</v>
      </c>
      <c r="I19" s="23">
        <f t="shared" si="1"/>
        <v>0</v>
      </c>
      <c r="J19" s="21"/>
      <c r="K19" s="21"/>
      <c r="L19" s="23">
        <f t="shared" si="2"/>
        <v>0</v>
      </c>
      <c r="M19" s="23">
        <f t="shared" si="3"/>
        <v>0</v>
      </c>
      <c r="N19" s="24"/>
      <c r="O19" s="16"/>
      <c r="P19" s="23">
        <f t="shared" si="4"/>
        <v>0</v>
      </c>
      <c r="Q19" s="23">
        <f t="shared" si="5"/>
        <v>0</v>
      </c>
      <c r="R19" s="35">
        <f t="shared" si="6"/>
        <v>0</v>
      </c>
      <c r="S19" s="32"/>
      <c r="T19" s="101" t="e">
        <f>IF(R19&lt;1,
VLOOKUP(S19&amp;1,Справка!K:N,4,0),
IF(R19&lt;=3,VLOOKUP(S19&amp;ROUNDUP(R19,0),Справка!K:N,4,0),
IF(R19&lt;=190,VLOOKUP(S19&amp;3,Справка!K:N,4,0)+ROUNDUP(R19-3,0)*IF(S19="FBO",15.25,23),
IF(R19&lt;1000,IF(S19="FBO",2918.86,4417)+(R19-190)*6,
IF(S19="FBO",7731,9277)
))
))</f>
        <v>#N/A</v>
      </c>
      <c r="U19" s="64"/>
      <c r="V19" s="66" t="str">
        <f>IFERROR(VLOOKUP($U19,Справка!$Y:$AA,2,0),"")</f>
        <v/>
      </c>
      <c r="W19" s="67" t="str">
        <f>IFERROR(VLOOKUP($U19,Справка!$Y:$AA,3,0),"")</f>
        <v/>
      </c>
      <c r="X19" s="68" t="str">
        <f t="shared" si="7"/>
        <v/>
      </c>
      <c r="Y19" s="24"/>
      <c r="Z19" s="26">
        <v>25</v>
      </c>
      <c r="AA19" s="26" t="str">
        <f t="shared" si="8"/>
        <v/>
      </c>
      <c r="AB19" s="33"/>
      <c r="AC19" s="25">
        <f t="shared" si="9"/>
        <v>0</v>
      </c>
      <c r="AD19" s="22"/>
      <c r="AE19" s="26">
        <f t="shared" si="10"/>
        <v>0</v>
      </c>
      <c r="AF19" s="27" t="str">
        <f t="shared" si="11"/>
        <v/>
      </c>
      <c r="AG19" s="16"/>
      <c r="AH19" s="25">
        <f t="shared" si="12"/>
        <v>0</v>
      </c>
      <c r="AI19" s="26">
        <f t="shared" si="13"/>
        <v>0</v>
      </c>
      <c r="AJ19" s="27" t="str">
        <f t="shared" si="14"/>
        <v/>
      </c>
      <c r="AK19" s="28"/>
      <c r="AL19" s="16"/>
      <c r="AM19" s="29" t="str">
        <f t="shared" si="15"/>
        <v/>
      </c>
      <c r="AN19" s="25" t="str">
        <f t="shared" si="16"/>
        <v/>
      </c>
      <c r="AO19" s="26" t="str">
        <f t="shared" si="17"/>
        <v/>
      </c>
      <c r="AP19" s="26" t="str">
        <f t="shared" si="18"/>
        <v/>
      </c>
      <c r="AQ19" s="30" t="str">
        <f t="shared" si="19"/>
        <v/>
      </c>
      <c r="AR19" s="30" t="str">
        <f t="shared" si="20"/>
        <v/>
      </c>
    </row>
    <row r="20" spans="1:44" s="1" customFormat="1" ht="22.2" customHeight="1" x14ac:dyDescent="0.3">
      <c r="A20" s="20"/>
      <c r="B20" s="21"/>
      <c r="C20" s="22"/>
      <c r="D20" s="22"/>
      <c r="E20" s="22"/>
      <c r="F20" s="22"/>
      <c r="G20" s="16"/>
      <c r="H20" s="23">
        <f t="shared" si="0"/>
        <v>0</v>
      </c>
      <c r="I20" s="23">
        <f t="shared" si="1"/>
        <v>0</v>
      </c>
      <c r="J20" s="21"/>
      <c r="K20" s="21"/>
      <c r="L20" s="23">
        <f t="shared" si="2"/>
        <v>0</v>
      </c>
      <c r="M20" s="23">
        <f t="shared" si="3"/>
        <v>0</v>
      </c>
      <c r="N20" s="24"/>
      <c r="O20" s="16"/>
      <c r="P20" s="23">
        <f t="shared" si="4"/>
        <v>0</v>
      </c>
      <c r="Q20" s="23">
        <f t="shared" si="5"/>
        <v>0</v>
      </c>
      <c r="R20" s="35">
        <f t="shared" si="6"/>
        <v>0</v>
      </c>
      <c r="S20" s="32"/>
      <c r="T20" s="101" t="e">
        <f>IF(R20&lt;1,
VLOOKUP(S20&amp;1,Справка!K:N,4,0),
IF(R20&lt;=3,VLOOKUP(S20&amp;ROUNDUP(R20,0),Справка!K:N,4,0),
IF(R20&lt;=190,VLOOKUP(S20&amp;3,Справка!K:N,4,0)+ROUNDUP(R20-3,0)*IF(S20="FBO",15.25,23),
IF(R20&lt;1000,IF(S20="FBO",2918.86,4417)+(R20-190)*6,
IF(S20="FBO",7731,9277)
))
))</f>
        <v>#N/A</v>
      </c>
      <c r="U20" s="64"/>
      <c r="V20" s="66" t="str">
        <f>IFERROR(VLOOKUP($U20,Справка!$Y:$AA,2,0),"")</f>
        <v/>
      </c>
      <c r="W20" s="67" t="str">
        <f>IFERROR(VLOOKUP($U20,Справка!$Y:$AA,3,0),"")</f>
        <v/>
      </c>
      <c r="X20" s="68" t="str">
        <f t="shared" si="7"/>
        <v/>
      </c>
      <c r="Y20" s="24"/>
      <c r="Z20" s="26">
        <v>25</v>
      </c>
      <c r="AA20" s="26" t="str">
        <f t="shared" si="8"/>
        <v/>
      </c>
      <c r="AB20" s="33"/>
      <c r="AC20" s="25">
        <f t="shared" si="9"/>
        <v>0</v>
      </c>
      <c r="AD20" s="22"/>
      <c r="AE20" s="26">
        <f t="shared" si="10"/>
        <v>0</v>
      </c>
      <c r="AF20" s="27" t="str">
        <f t="shared" si="11"/>
        <v/>
      </c>
      <c r="AG20" s="16"/>
      <c r="AH20" s="25">
        <f t="shared" si="12"/>
        <v>0</v>
      </c>
      <c r="AI20" s="26">
        <f t="shared" si="13"/>
        <v>0</v>
      </c>
      <c r="AJ20" s="27" t="str">
        <f t="shared" si="14"/>
        <v/>
      </c>
      <c r="AK20" s="28"/>
      <c r="AL20" s="16"/>
      <c r="AM20" s="29" t="str">
        <f t="shared" si="15"/>
        <v/>
      </c>
      <c r="AN20" s="25" t="str">
        <f t="shared" si="16"/>
        <v/>
      </c>
      <c r="AO20" s="26" t="str">
        <f t="shared" si="17"/>
        <v/>
      </c>
      <c r="AP20" s="26" t="str">
        <f t="shared" si="18"/>
        <v/>
      </c>
      <c r="AQ20" s="30" t="str">
        <f t="shared" si="19"/>
        <v/>
      </c>
      <c r="AR20" s="30" t="str">
        <f t="shared" si="20"/>
        <v/>
      </c>
    </row>
    <row r="21" spans="1:44" s="1" customFormat="1" ht="22.2" customHeight="1" x14ac:dyDescent="0.3">
      <c r="A21" s="20"/>
      <c r="B21" s="21"/>
      <c r="C21" s="22"/>
      <c r="D21" s="22"/>
      <c r="E21" s="22"/>
      <c r="F21" s="22"/>
      <c r="G21" s="16"/>
      <c r="H21" s="23">
        <f t="shared" si="0"/>
        <v>0</v>
      </c>
      <c r="I21" s="23">
        <f t="shared" si="1"/>
        <v>0</v>
      </c>
      <c r="J21" s="21"/>
      <c r="K21" s="21"/>
      <c r="L21" s="23">
        <f t="shared" si="2"/>
        <v>0</v>
      </c>
      <c r="M21" s="23">
        <f t="shared" si="3"/>
        <v>0</v>
      </c>
      <c r="N21" s="24"/>
      <c r="O21" s="16"/>
      <c r="P21" s="23">
        <f t="shared" si="4"/>
        <v>0</v>
      </c>
      <c r="Q21" s="23">
        <f t="shared" si="5"/>
        <v>0</v>
      </c>
      <c r="R21" s="35">
        <f t="shared" si="6"/>
        <v>0</v>
      </c>
      <c r="S21" s="32"/>
      <c r="T21" s="101" t="e">
        <f>IF(R21&lt;1,
VLOOKUP(S21&amp;1,Справка!K:N,4,0),
IF(R21&lt;=3,VLOOKUP(S21&amp;ROUNDUP(R21,0),Справка!K:N,4,0),
IF(R21&lt;=190,VLOOKUP(S21&amp;3,Справка!K:N,4,0)+ROUNDUP(R21-3,0)*IF(S21="FBO",15.25,23),
IF(R21&lt;1000,IF(S21="FBO",2918.86,4417)+(R21-190)*6,
IF(S21="FBO",7731,9277)
))
))</f>
        <v>#N/A</v>
      </c>
      <c r="U21" s="64"/>
      <c r="V21" s="66" t="str">
        <f>IFERROR(VLOOKUP($U21,Справка!$Y:$AA,2,0),"")</f>
        <v/>
      </c>
      <c r="W21" s="67" t="str">
        <f>IFERROR(VLOOKUP($U21,Справка!$Y:$AA,3,0),"")</f>
        <v/>
      </c>
      <c r="X21" s="68" t="str">
        <f t="shared" si="7"/>
        <v/>
      </c>
      <c r="Y21" s="24"/>
      <c r="Z21" s="26">
        <v>25</v>
      </c>
      <c r="AA21" s="26" t="str">
        <f t="shared" si="8"/>
        <v/>
      </c>
      <c r="AB21" s="33"/>
      <c r="AC21" s="25">
        <f t="shared" si="9"/>
        <v>0</v>
      </c>
      <c r="AD21" s="22"/>
      <c r="AE21" s="26">
        <f t="shared" si="10"/>
        <v>0</v>
      </c>
      <c r="AF21" s="27" t="str">
        <f t="shared" si="11"/>
        <v/>
      </c>
      <c r="AG21" s="16"/>
      <c r="AH21" s="25">
        <f t="shared" si="12"/>
        <v>0</v>
      </c>
      <c r="AI21" s="26">
        <f t="shared" si="13"/>
        <v>0</v>
      </c>
      <c r="AJ21" s="27" t="str">
        <f t="shared" si="14"/>
        <v/>
      </c>
      <c r="AK21" s="28"/>
      <c r="AL21" s="16"/>
      <c r="AM21" s="29" t="str">
        <f t="shared" si="15"/>
        <v/>
      </c>
      <c r="AN21" s="25" t="str">
        <f t="shared" si="16"/>
        <v/>
      </c>
      <c r="AO21" s="26" t="str">
        <f t="shared" si="17"/>
        <v/>
      </c>
      <c r="AP21" s="26" t="str">
        <f t="shared" si="18"/>
        <v/>
      </c>
      <c r="AQ21" s="30" t="str">
        <f t="shared" si="19"/>
        <v/>
      </c>
      <c r="AR21" s="30" t="str">
        <f t="shared" si="20"/>
        <v/>
      </c>
    </row>
    <row r="22" spans="1:44" s="1" customFormat="1" ht="22.2" customHeight="1" x14ac:dyDescent="0.3">
      <c r="A22" s="20"/>
      <c r="B22" s="21"/>
      <c r="C22" s="22"/>
      <c r="D22" s="22"/>
      <c r="E22" s="22"/>
      <c r="F22" s="22"/>
      <c r="G22" s="16"/>
      <c r="H22" s="23">
        <f t="shared" si="0"/>
        <v>0</v>
      </c>
      <c r="I22" s="23">
        <f t="shared" si="1"/>
        <v>0</v>
      </c>
      <c r="J22" s="21"/>
      <c r="K22" s="21"/>
      <c r="L22" s="23">
        <f t="shared" si="2"/>
        <v>0</v>
      </c>
      <c r="M22" s="23">
        <f t="shared" si="3"/>
        <v>0</v>
      </c>
      <c r="N22" s="24"/>
      <c r="O22" s="16"/>
      <c r="P22" s="23">
        <f t="shared" si="4"/>
        <v>0</v>
      </c>
      <c r="Q22" s="23">
        <f t="shared" si="5"/>
        <v>0</v>
      </c>
      <c r="R22" s="35">
        <f t="shared" si="6"/>
        <v>0</v>
      </c>
      <c r="S22" s="32"/>
      <c r="T22" s="101" t="e">
        <f>IF(R22&lt;1,
VLOOKUP(S22&amp;1,Справка!K:N,4,0),
IF(R22&lt;=3,VLOOKUP(S22&amp;ROUNDUP(R22,0),Справка!K:N,4,0),
IF(R22&lt;=190,VLOOKUP(S22&amp;3,Справка!K:N,4,0)+ROUNDUP(R22-3,0)*IF(S22="FBO",15.25,23),
IF(R22&lt;1000,IF(S22="FBO",2918.86,4417)+(R22-190)*6,
IF(S22="FBO",7731,9277)
))
))</f>
        <v>#N/A</v>
      </c>
      <c r="U22" s="64"/>
      <c r="V22" s="66" t="str">
        <f>IFERROR(VLOOKUP($U22,Справка!$Y:$AA,2,0),"")</f>
        <v/>
      </c>
      <c r="W22" s="67" t="str">
        <f>IFERROR(VLOOKUP($U22,Справка!$Y:$AA,3,0),"")</f>
        <v/>
      </c>
      <c r="X22" s="68" t="str">
        <f t="shared" si="7"/>
        <v/>
      </c>
      <c r="Y22" s="24"/>
      <c r="Z22" s="26">
        <v>25</v>
      </c>
      <c r="AA22" s="26" t="str">
        <f t="shared" si="8"/>
        <v/>
      </c>
      <c r="AB22" s="33"/>
      <c r="AC22" s="25">
        <f t="shared" si="9"/>
        <v>0</v>
      </c>
      <c r="AD22" s="22"/>
      <c r="AE22" s="26">
        <f t="shared" si="10"/>
        <v>0</v>
      </c>
      <c r="AF22" s="27" t="str">
        <f t="shared" si="11"/>
        <v/>
      </c>
      <c r="AG22" s="16"/>
      <c r="AH22" s="25">
        <f t="shared" si="12"/>
        <v>0</v>
      </c>
      <c r="AI22" s="26">
        <f t="shared" si="13"/>
        <v>0</v>
      </c>
      <c r="AJ22" s="27" t="str">
        <f t="shared" si="14"/>
        <v/>
      </c>
      <c r="AK22" s="28"/>
      <c r="AL22" s="16"/>
      <c r="AM22" s="29" t="str">
        <f t="shared" si="15"/>
        <v/>
      </c>
      <c r="AN22" s="25" t="str">
        <f t="shared" si="16"/>
        <v/>
      </c>
      <c r="AO22" s="26" t="str">
        <f t="shared" si="17"/>
        <v/>
      </c>
      <c r="AP22" s="26" t="str">
        <f t="shared" si="18"/>
        <v/>
      </c>
      <c r="AQ22" s="30" t="str">
        <f t="shared" si="19"/>
        <v/>
      </c>
      <c r="AR22" s="30" t="str">
        <f t="shared" si="20"/>
        <v/>
      </c>
    </row>
    <row r="23" spans="1:44" s="1" customFormat="1" ht="22.2" customHeight="1" x14ac:dyDescent="0.3">
      <c r="A23" s="20"/>
      <c r="B23" s="21"/>
      <c r="C23" s="22"/>
      <c r="D23" s="22"/>
      <c r="E23" s="22"/>
      <c r="F23" s="22"/>
      <c r="G23" s="16"/>
      <c r="H23" s="23">
        <f t="shared" si="0"/>
        <v>0</v>
      </c>
      <c r="I23" s="23">
        <f t="shared" si="1"/>
        <v>0</v>
      </c>
      <c r="J23" s="21"/>
      <c r="K23" s="21"/>
      <c r="L23" s="23">
        <f t="shared" si="2"/>
        <v>0</v>
      </c>
      <c r="M23" s="23">
        <f t="shared" si="3"/>
        <v>0</v>
      </c>
      <c r="N23" s="24"/>
      <c r="O23" s="16"/>
      <c r="P23" s="23">
        <f t="shared" si="4"/>
        <v>0</v>
      </c>
      <c r="Q23" s="23">
        <f t="shared" si="5"/>
        <v>0</v>
      </c>
      <c r="R23" s="35">
        <f t="shared" si="6"/>
        <v>0</v>
      </c>
      <c r="S23" s="32"/>
      <c r="T23" s="101" t="e">
        <f>IF(R23&lt;1,
VLOOKUP(S23&amp;1,Справка!K:N,4,0),
IF(R23&lt;=3,VLOOKUP(S23&amp;ROUNDUP(R23,0),Справка!K:N,4,0),
IF(R23&lt;=190,VLOOKUP(S23&amp;3,Справка!K:N,4,0)+ROUNDUP(R23-3,0)*IF(S23="FBO",15.25,23),
IF(R23&lt;1000,IF(S23="FBO",2918.86,4417)+(R23-190)*6,
IF(S23="FBO",7731,9277)
))
))</f>
        <v>#N/A</v>
      </c>
      <c r="U23" s="64"/>
      <c r="V23" s="66" t="str">
        <f>IFERROR(VLOOKUP($U23,Справка!$Y:$AA,2,0),"")</f>
        <v/>
      </c>
      <c r="W23" s="67" t="str">
        <f>IFERROR(VLOOKUP($U23,Справка!$Y:$AA,3,0),"")</f>
        <v/>
      </c>
      <c r="X23" s="68" t="str">
        <f t="shared" si="7"/>
        <v/>
      </c>
      <c r="Y23" s="24"/>
      <c r="Z23" s="26">
        <v>25</v>
      </c>
      <c r="AA23" s="26" t="str">
        <f t="shared" si="8"/>
        <v/>
      </c>
      <c r="AB23" s="33"/>
      <c r="AC23" s="25">
        <f t="shared" si="9"/>
        <v>0</v>
      </c>
      <c r="AD23" s="22"/>
      <c r="AE23" s="26">
        <f t="shared" si="10"/>
        <v>0</v>
      </c>
      <c r="AF23" s="27" t="str">
        <f t="shared" si="11"/>
        <v/>
      </c>
      <c r="AG23" s="16"/>
      <c r="AH23" s="25">
        <f t="shared" si="12"/>
        <v>0</v>
      </c>
      <c r="AI23" s="26">
        <f t="shared" si="13"/>
        <v>0</v>
      </c>
      <c r="AJ23" s="27" t="str">
        <f t="shared" si="14"/>
        <v/>
      </c>
      <c r="AK23" s="28"/>
      <c r="AL23" s="16"/>
      <c r="AM23" s="29" t="str">
        <f t="shared" si="15"/>
        <v/>
      </c>
      <c r="AN23" s="25" t="str">
        <f t="shared" si="16"/>
        <v/>
      </c>
      <c r="AO23" s="26" t="str">
        <f t="shared" si="17"/>
        <v/>
      </c>
      <c r="AP23" s="26" t="str">
        <f t="shared" si="18"/>
        <v/>
      </c>
      <c r="AQ23" s="30" t="str">
        <f t="shared" si="19"/>
        <v/>
      </c>
      <c r="AR23" s="30" t="str">
        <f t="shared" si="20"/>
        <v/>
      </c>
    </row>
  </sheetData>
  <mergeCells count="4">
    <mergeCell ref="AK1:AM1"/>
    <mergeCell ref="A1:C1"/>
    <mergeCell ref="U1:AA1"/>
    <mergeCell ref="AB1:AC1"/>
  </mergeCells>
  <conditionalFormatting sqref="AQ3:AQ2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{55764302-E36C-4875-9790-C58206E53C90}</x14:id>
        </ext>
      </extLst>
    </cfRule>
  </conditionalFormatting>
  <conditionalFormatting sqref="AR3:AR23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{5B2CBDBD-AE74-4C35-B09D-518612F248ED}</x14:id>
        </ext>
      </extLst>
    </cfRule>
  </conditionalFormatting>
  <hyperlinks>
    <hyperlink ref="AE1" r:id="rId1" xr:uid="{00000000-0004-0000-0100-000000000000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764302-E36C-4875-9790-C58206E53C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AQ3:AQ23</xm:sqref>
        </x14:conditionalFormatting>
        <x14:conditionalFormatting xmlns:xm="http://schemas.microsoft.com/office/excel/2006/main">
          <x14:cfRule type="dataBar" id="{5B2CBDBD-AE74-4C35-B09D-518612F248E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AR3:AR23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Справка!$V$1:$V$3</xm:f>
          </x14:formula1>
          <xm:sqref>AK3:AK23</xm:sqref>
        </x14:dataValidation>
        <x14:dataValidation type="list" xr:uid="{00000000-0002-0000-0100-000001000000}">
          <x14:formula1>
            <xm:f>Справка!$Y$2:$Y$34</xm:f>
          </x14:formula1>
          <xm:sqref>U3:U23</xm:sqref>
        </x14:dataValidation>
        <x14:dataValidation type="list" xr:uid="{00000000-0002-0000-0100-000002000000}">
          <x14:formula1>
            <xm:f>Справка!$A$22:$A$23</xm:f>
          </x14:formula1>
          <xm:sqref>S3:S23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AS29"/>
  <sheetViews>
    <sheetView showGridLines="0" tabSelected="1" zoomScale="85" zoomScaleNormal="85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F9" sqref="F9"/>
    </sheetView>
  </sheetViews>
  <sheetFormatPr defaultColWidth="10" defaultRowHeight="16.2" outlineLevelCol="2" x14ac:dyDescent="0.4"/>
  <cols>
    <col min="1" max="1" width="28.5546875" style="5" customWidth="1"/>
    <col min="2" max="2" width="13.6640625" style="6" customWidth="1"/>
    <col min="3" max="3" width="17" style="7" customWidth="1"/>
    <col min="4" max="4" width="8.5546875" style="7" customWidth="1" outlineLevel="1"/>
    <col min="5" max="5" width="9.6640625" style="7" customWidth="1" outlineLevel="1"/>
    <col min="6" max="6" width="9.88671875" style="7" customWidth="1" outlineLevel="1"/>
    <col min="7" max="7" width="14.33203125" style="8" customWidth="1"/>
    <col min="8" max="8" width="13.6640625" style="8" customWidth="1"/>
    <col min="9" max="9" width="15.109375" style="8" customWidth="1"/>
    <col min="10" max="10" width="13.6640625" style="6" customWidth="1" outlineLevel="1"/>
    <col min="11" max="11" width="16.33203125" style="6" customWidth="1" outlineLevel="1"/>
    <col min="12" max="12" width="18.109375" style="8" customWidth="1" outlineLevel="1"/>
    <col min="13" max="13" width="19.33203125" style="8" customWidth="1"/>
    <col min="14" max="14" width="17" style="6" customWidth="1"/>
    <col min="15" max="15" width="23.44140625" style="8" customWidth="1"/>
    <col min="16" max="17" width="13.33203125" style="8" customWidth="1"/>
    <col min="18" max="18" width="13.33203125" style="8" customWidth="1" outlineLevel="1"/>
    <col min="19" max="19" width="18.33203125" style="8" customWidth="1" outlineLevel="1"/>
    <col min="20" max="20" width="13.33203125" style="8" customWidth="1" outlineLevel="1"/>
    <col min="21" max="21" width="18.88671875" style="8" customWidth="1" outlineLevel="1"/>
    <col min="22" max="22" width="15.5546875" style="61" customWidth="1" outlineLevel="1"/>
    <col min="23" max="23" width="18" style="61" customWidth="1" outlineLevel="2"/>
    <col min="24" max="24" width="15.5546875" style="61" customWidth="1" outlineLevel="2"/>
    <col min="25" max="26" width="16" style="8" customWidth="1" outlineLevel="1"/>
    <col min="27" max="27" width="19.33203125" style="8" customWidth="1" outlineLevel="1"/>
    <col min="28" max="28" width="13.6640625" style="8" customWidth="1" outlineLevel="1"/>
    <col min="29" max="29" width="16.33203125" style="8" customWidth="1" outlineLevel="1"/>
    <col min="30" max="30" width="17.5546875" customWidth="1" outlineLevel="1"/>
    <col min="31" max="31" width="14" style="7" customWidth="1" outlineLevel="1"/>
    <col min="32" max="32" width="17.5546875" style="8" customWidth="1"/>
    <col min="33" max="33" width="15" style="8" customWidth="1"/>
    <col min="34" max="34" width="19.109375" style="8" customWidth="1"/>
    <col min="35" max="35" width="15.5546875" customWidth="1"/>
    <col min="36" max="36" width="15.88671875" customWidth="1"/>
    <col min="37" max="37" width="13.44140625" customWidth="1"/>
    <col min="38" max="38" width="22.5546875" customWidth="1"/>
    <col min="39" max="39" width="9.6640625" customWidth="1"/>
    <col min="40" max="40" width="13.44140625" customWidth="1"/>
    <col min="41" max="41" width="15.5546875" customWidth="1"/>
    <col min="42" max="42" width="19.33203125" customWidth="1"/>
    <col min="43" max="43" width="14.109375" customWidth="1"/>
    <col min="44" max="44" width="21" customWidth="1"/>
    <col min="45" max="45" width="19.5546875" customWidth="1"/>
  </cols>
  <sheetData>
    <row r="1" spans="1:45" ht="30.6" customHeight="1" x14ac:dyDescent="0.4">
      <c r="A1" s="2"/>
      <c r="B1" s="8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V1" s="8"/>
      <c r="W1" s="8"/>
      <c r="X1" s="8"/>
    </row>
    <row r="2" spans="1:45" ht="20.399999999999999" customHeight="1" x14ac:dyDescent="0.4">
      <c r="A2" s="106"/>
      <c r="B2" s="106"/>
      <c r="C2" s="106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AP2" s="82"/>
    </row>
    <row r="3" spans="1:45" ht="20.399999999999999" customHeight="1" x14ac:dyDescent="0.4">
      <c r="A3" s="106"/>
      <c r="B3" s="106"/>
      <c r="C3" s="106"/>
      <c r="J3" s="8"/>
      <c r="K3" s="8"/>
      <c r="N3" s="8"/>
    </row>
    <row r="4" spans="1:45" ht="45" customHeight="1" x14ac:dyDescent="0.4">
      <c r="A4" s="107"/>
      <c r="B4" s="107"/>
      <c r="C4" s="107"/>
      <c r="G4" s="94"/>
      <c r="J4" s="8"/>
      <c r="K4" s="8"/>
      <c r="N4" s="8"/>
      <c r="U4" s="4"/>
      <c r="V4" s="81"/>
      <c r="W4" s="62"/>
      <c r="X4" s="62"/>
      <c r="AC4" s="34"/>
      <c r="AD4" s="4" t="s">
        <v>15</v>
      </c>
      <c r="AJ4" s="3"/>
      <c r="AL4" s="108"/>
      <c r="AM4" s="108"/>
      <c r="AN4" s="108"/>
    </row>
    <row r="5" spans="1:45" ht="42" customHeight="1" x14ac:dyDescent="0.4">
      <c r="A5" s="109"/>
      <c r="B5" s="109"/>
      <c r="C5" s="109"/>
      <c r="J5" s="8"/>
      <c r="K5" s="8"/>
      <c r="N5" s="8"/>
      <c r="O5" s="85"/>
      <c r="U5" s="4"/>
      <c r="V5" s="110" t="s">
        <v>19</v>
      </c>
      <c r="W5" s="110"/>
      <c r="X5" s="110"/>
      <c r="Y5" s="110"/>
      <c r="Z5" s="110"/>
      <c r="AA5" s="110"/>
      <c r="AB5" s="110"/>
      <c r="AC5" s="111" t="s">
        <v>20</v>
      </c>
      <c r="AD5" s="112"/>
      <c r="AF5" s="4"/>
      <c r="AG5" s="4"/>
      <c r="AJ5" s="3"/>
      <c r="AL5" s="113" t="s">
        <v>30</v>
      </c>
      <c r="AM5" s="113"/>
      <c r="AN5" s="113"/>
    </row>
    <row r="6" spans="1:45" s="1" customFormat="1" ht="68.400000000000006" customHeight="1" x14ac:dyDescent="0.3">
      <c r="A6" s="97" t="s">
        <v>0</v>
      </c>
      <c r="B6" s="98" t="s">
        <v>1</v>
      </c>
      <c r="C6" s="98" t="s">
        <v>2</v>
      </c>
      <c r="D6" s="12" t="s">
        <v>42</v>
      </c>
      <c r="E6" s="12" t="s">
        <v>43</v>
      </c>
      <c r="F6" s="12" t="s">
        <v>44</v>
      </c>
      <c r="G6" s="98" t="s">
        <v>3</v>
      </c>
      <c r="H6" s="98" t="s">
        <v>5</v>
      </c>
      <c r="I6" s="98" t="s">
        <v>4</v>
      </c>
      <c r="J6" s="98" t="s">
        <v>6</v>
      </c>
      <c r="K6" s="98" t="s">
        <v>7</v>
      </c>
      <c r="L6" s="98" t="s">
        <v>8</v>
      </c>
      <c r="M6" s="98" t="s">
        <v>9</v>
      </c>
      <c r="N6" s="11" t="s">
        <v>12</v>
      </c>
      <c r="O6" s="11" t="s">
        <v>10</v>
      </c>
      <c r="P6" s="11" t="s">
        <v>11</v>
      </c>
      <c r="Q6" s="11" t="s">
        <v>13</v>
      </c>
      <c r="R6" s="17" t="s">
        <v>16</v>
      </c>
      <c r="S6" s="95" t="s">
        <v>128</v>
      </c>
      <c r="T6" s="31" t="s">
        <v>46</v>
      </c>
      <c r="U6" s="17" t="s">
        <v>14</v>
      </c>
      <c r="V6" s="63" t="s">
        <v>52</v>
      </c>
      <c r="W6" s="65" t="s">
        <v>82</v>
      </c>
      <c r="X6" s="65" t="s">
        <v>83</v>
      </c>
      <c r="Y6" s="17" t="s">
        <v>17</v>
      </c>
      <c r="Z6" s="17" t="s">
        <v>48</v>
      </c>
      <c r="AA6" s="17" t="s">
        <v>84</v>
      </c>
      <c r="AB6" s="18" t="s">
        <v>18</v>
      </c>
      <c r="AC6" s="17" t="s">
        <v>21</v>
      </c>
      <c r="AD6" s="18" t="s">
        <v>22</v>
      </c>
      <c r="AE6" s="17" t="s">
        <v>23</v>
      </c>
      <c r="AF6" s="17" t="s">
        <v>24</v>
      </c>
      <c r="AG6" s="17" t="s">
        <v>49</v>
      </c>
      <c r="AH6" s="19" t="s">
        <v>26</v>
      </c>
      <c r="AI6" s="19" t="s">
        <v>27</v>
      </c>
      <c r="AJ6" s="19" t="s">
        <v>28</v>
      </c>
      <c r="AK6" s="19" t="s">
        <v>29</v>
      </c>
      <c r="AL6" s="15" t="s">
        <v>34</v>
      </c>
      <c r="AM6" s="15" t="s">
        <v>35</v>
      </c>
      <c r="AN6" s="15" t="s">
        <v>36</v>
      </c>
      <c r="AO6" s="19" t="s">
        <v>37</v>
      </c>
      <c r="AP6" s="19" t="s">
        <v>38</v>
      </c>
      <c r="AQ6" s="19" t="s">
        <v>39</v>
      </c>
      <c r="AR6" s="19" t="s">
        <v>40</v>
      </c>
      <c r="AS6" s="19" t="s">
        <v>41</v>
      </c>
    </row>
    <row r="7" spans="1:45" s="1" customFormat="1" ht="24" x14ac:dyDescent="0.3">
      <c r="A7" s="104"/>
      <c r="B7" s="21"/>
      <c r="C7" s="22"/>
      <c r="D7" s="22"/>
      <c r="E7" s="22"/>
      <c r="F7" s="22"/>
      <c r="G7" s="16"/>
      <c r="H7" s="23">
        <f t="shared" ref="H7:H29" si="0">G7*B7*C7</f>
        <v>0</v>
      </c>
      <c r="I7" s="23">
        <f t="shared" ref="I7:I29" si="1">B7*C7+H7</f>
        <v>0</v>
      </c>
      <c r="J7" s="21"/>
      <c r="K7" s="21"/>
      <c r="L7" s="23">
        <f t="shared" ref="L7:L29" si="2">I7+J7*C7+K7</f>
        <v>0</v>
      </c>
      <c r="M7" s="23">
        <f t="shared" ref="M7:M29" si="3">IFERROR(L7/C7,0)</f>
        <v>0</v>
      </c>
      <c r="N7" s="24"/>
      <c r="O7" s="84">
        <f t="shared" ref="O7:O29" si="4">IF(N7&lt;100,14%,IF(N7&lt;300,20%,"Товар дороже 300р."))</f>
        <v>0.14000000000000001</v>
      </c>
      <c r="P7" s="23">
        <f t="shared" ref="P7:P29" si="5">O7*N7</f>
        <v>0</v>
      </c>
      <c r="Q7" s="68">
        <f t="shared" ref="Q7:Q29" si="6">N7*1.5%</f>
        <v>0</v>
      </c>
      <c r="R7" s="86">
        <f t="shared" ref="R7:R29" si="7">IF((D7/100)*(E7/100)*(F7/100)*1000&lt;=1,(D7/100)*(E7/100)*(F7/100)*1000,(D7/100)*(E7/100)*(F7/100)*1000)</f>
        <v>0</v>
      </c>
      <c r="S7" s="32"/>
      <c r="T7" s="32"/>
      <c r="U7" s="96" t="str">
        <f>IFERROR(VLOOKUP(S7,Справка!AF:AG,2,0),"Укажите диапазон объёма")</f>
        <v>Укажите диапазон объёма</v>
      </c>
      <c r="V7" s="105"/>
      <c r="W7" s="66" t="str">
        <f>IFERROR(VLOOKUP($V7,Справка!$Y:$AA,2,0),"")</f>
        <v/>
      </c>
      <c r="X7" s="67" t="str">
        <f>IFERROR(VLOOKUP($V7,Справка!$Y:$AA,3,0),"")</f>
        <v/>
      </c>
      <c r="Y7" s="68" t="str">
        <f t="shared" ref="Y7:Y29" si="8">IF(T7="FBS",U7,IFERROR(W7*VALUE(U7)+X7*VALUE(N7),""))</f>
        <v/>
      </c>
      <c r="Z7" s="24"/>
      <c r="AA7" s="25">
        <v>2</v>
      </c>
      <c r="AB7" s="26" t="str">
        <f t="shared" ref="AB7:AB29" si="9">IFERROR(AA7+Y7+Z7,"")</f>
        <v/>
      </c>
      <c r="AC7" s="33"/>
      <c r="AD7" s="25">
        <f t="shared" ref="AD7:AD29" si="10">IFERROR(AC7+U7,0)</f>
        <v>0</v>
      </c>
      <c r="AE7" s="22"/>
      <c r="AF7" s="26">
        <f t="shared" ref="AF7:AF29" si="11">IFERROR((100/AE7)*AB7+(100/AE7-1)*AD7,0)</f>
        <v>0</v>
      </c>
      <c r="AG7" s="27" t="str">
        <f t="shared" ref="AG7:AG29" si="12">IFERROR(AF7/N7,"")</f>
        <v/>
      </c>
      <c r="AH7" s="16"/>
      <c r="AI7" s="100"/>
      <c r="AJ7" s="26">
        <f t="shared" ref="AJ7:AJ29" si="13">AI7+AF7+P7+Q7</f>
        <v>0</v>
      </c>
      <c r="AK7" s="27" t="str">
        <f t="shared" ref="AK7:AK29" si="14">IFERROR(AJ7/N7,"")</f>
        <v/>
      </c>
      <c r="AL7" s="28"/>
      <c r="AM7" s="16"/>
      <c r="AN7" s="29" t="str">
        <f t="shared" ref="AN7:AN29" si="15">IF(AL7="","",IF(AL7="УСН-ДОХОДЫ",AM7*N7,IF(AL7="УСН Д-Р",AM7*(N7-AJ7-M7),0)))</f>
        <v/>
      </c>
      <c r="AO7" s="25" t="str">
        <f t="shared" ref="AO7:AO29" si="16">IFERROR(M7+AJ7+AN7,"")</f>
        <v/>
      </c>
      <c r="AP7" s="26" t="str">
        <f t="shared" ref="AP7:AP29" si="17">IFERROR(N7-AO7,"")</f>
        <v/>
      </c>
      <c r="AQ7" s="26" t="str">
        <f t="shared" ref="AQ7:AQ29" si="18">IFERROR(AP7*C7,"")</f>
        <v/>
      </c>
      <c r="AR7" s="30" t="str">
        <f t="shared" ref="AR7:AR29" si="19">IFERROR(AP7/N7,"")</f>
        <v/>
      </c>
      <c r="AS7" s="30" t="str">
        <f t="shared" ref="AS7:AS29" si="20">IFERROR(AP7/M7,"")</f>
        <v/>
      </c>
    </row>
    <row r="8" spans="1:45" ht="24" x14ac:dyDescent="0.3">
      <c r="A8" s="104"/>
      <c r="B8" s="21"/>
      <c r="C8" s="22"/>
      <c r="D8" s="22"/>
      <c r="E8" s="22"/>
      <c r="F8" s="22"/>
      <c r="G8" s="16"/>
      <c r="H8" s="23">
        <f t="shared" si="0"/>
        <v>0</v>
      </c>
      <c r="I8" s="23">
        <f t="shared" si="1"/>
        <v>0</v>
      </c>
      <c r="J8" s="21"/>
      <c r="K8" s="21"/>
      <c r="L8" s="23">
        <f t="shared" si="2"/>
        <v>0</v>
      </c>
      <c r="M8" s="23">
        <f t="shared" si="3"/>
        <v>0</v>
      </c>
      <c r="N8" s="24"/>
      <c r="O8" s="84">
        <f t="shared" si="4"/>
        <v>0.14000000000000001</v>
      </c>
      <c r="P8" s="23">
        <f t="shared" si="5"/>
        <v>0</v>
      </c>
      <c r="Q8" s="68">
        <f t="shared" si="6"/>
        <v>0</v>
      </c>
      <c r="R8" s="86">
        <f t="shared" si="7"/>
        <v>0</v>
      </c>
      <c r="S8" s="32"/>
      <c r="T8" s="32"/>
      <c r="U8" s="96" t="str">
        <f>IFERROR(VLOOKUP(S8,Справка!AF:AG,2,0),"Укажите диапазон объёма")</f>
        <v>Укажите диапазон объёма</v>
      </c>
      <c r="V8" s="105"/>
      <c r="W8" s="66" t="str">
        <f>IFERROR(VLOOKUP($V8,Справка!$Y:$AA,2,0),"")</f>
        <v/>
      </c>
      <c r="X8" s="67" t="str">
        <f>IFERROR(VLOOKUP($V8,Справка!$Y:$AA,3,0),"")</f>
        <v/>
      </c>
      <c r="Y8" s="68" t="str">
        <f t="shared" si="8"/>
        <v/>
      </c>
      <c r="Z8" s="24"/>
      <c r="AA8" s="25">
        <v>2</v>
      </c>
      <c r="AB8" s="26" t="str">
        <f t="shared" si="9"/>
        <v/>
      </c>
      <c r="AC8" s="33"/>
      <c r="AD8" s="25">
        <f t="shared" si="10"/>
        <v>0</v>
      </c>
      <c r="AE8" s="22"/>
      <c r="AF8" s="26">
        <f t="shared" si="11"/>
        <v>0</v>
      </c>
      <c r="AG8" s="27" t="str">
        <f t="shared" si="12"/>
        <v/>
      </c>
      <c r="AH8" s="16"/>
      <c r="AI8" s="100"/>
      <c r="AJ8" s="26">
        <f t="shared" si="13"/>
        <v>0</v>
      </c>
      <c r="AK8" s="27" t="str">
        <f t="shared" si="14"/>
        <v/>
      </c>
      <c r="AL8" s="28"/>
      <c r="AM8" s="16"/>
      <c r="AN8" s="29" t="str">
        <f t="shared" si="15"/>
        <v/>
      </c>
      <c r="AO8" s="25" t="str">
        <f t="shared" si="16"/>
        <v/>
      </c>
      <c r="AP8" s="26" t="str">
        <f t="shared" si="17"/>
        <v/>
      </c>
      <c r="AQ8" s="26" t="str">
        <f t="shared" si="18"/>
        <v/>
      </c>
      <c r="AR8" s="30" t="str">
        <f t="shared" si="19"/>
        <v/>
      </c>
      <c r="AS8" s="30" t="str">
        <f t="shared" si="20"/>
        <v/>
      </c>
    </row>
    <row r="9" spans="1:45" s="1" customFormat="1" ht="24" x14ac:dyDescent="0.3">
      <c r="A9" s="103"/>
      <c r="B9" s="21"/>
      <c r="C9" s="22"/>
      <c r="D9" s="22"/>
      <c r="E9" s="22"/>
      <c r="F9" s="22"/>
      <c r="G9" s="16"/>
      <c r="H9" s="23">
        <f t="shared" si="0"/>
        <v>0</v>
      </c>
      <c r="I9" s="23">
        <f t="shared" si="1"/>
        <v>0</v>
      </c>
      <c r="J9" s="21"/>
      <c r="K9" s="21"/>
      <c r="L9" s="23">
        <f t="shared" si="2"/>
        <v>0</v>
      </c>
      <c r="M9" s="23">
        <f t="shared" si="3"/>
        <v>0</v>
      </c>
      <c r="N9" s="24"/>
      <c r="O9" s="84">
        <f t="shared" si="4"/>
        <v>0.14000000000000001</v>
      </c>
      <c r="P9" s="23">
        <f t="shared" si="5"/>
        <v>0</v>
      </c>
      <c r="Q9" s="68">
        <f t="shared" si="6"/>
        <v>0</v>
      </c>
      <c r="R9" s="86">
        <f t="shared" si="7"/>
        <v>0</v>
      </c>
      <c r="S9" s="32"/>
      <c r="T9" s="32"/>
      <c r="U9" s="96" t="str">
        <f>IFERROR(VLOOKUP(S9,Справка!AF:AG,2,0),"Укажите диапазон объёма")</f>
        <v>Укажите диапазон объёма</v>
      </c>
      <c r="V9" s="64"/>
      <c r="W9" s="66" t="str">
        <f>IFERROR(VLOOKUP($V9,Справка!$Y:$AA,2,0),"")</f>
        <v/>
      </c>
      <c r="X9" s="67" t="str">
        <f>IFERROR(VLOOKUP($V9,Справка!$Y:$AA,3,0),"")</f>
        <v/>
      </c>
      <c r="Y9" s="68" t="str">
        <f t="shared" si="8"/>
        <v/>
      </c>
      <c r="Z9" s="24"/>
      <c r="AA9" s="25">
        <v>2</v>
      </c>
      <c r="AB9" s="26" t="str">
        <f t="shared" si="9"/>
        <v/>
      </c>
      <c r="AC9" s="33"/>
      <c r="AD9" s="25">
        <f t="shared" si="10"/>
        <v>0</v>
      </c>
      <c r="AE9" s="22"/>
      <c r="AF9" s="26">
        <f t="shared" si="11"/>
        <v>0</v>
      </c>
      <c r="AG9" s="27" t="str">
        <f t="shared" si="12"/>
        <v/>
      </c>
      <c r="AH9" s="16"/>
      <c r="AI9" s="100">
        <f t="shared" ref="AI9:AI29" si="21">AH9*N9</f>
        <v>0</v>
      </c>
      <c r="AJ9" s="26">
        <f t="shared" si="13"/>
        <v>0</v>
      </c>
      <c r="AK9" s="27" t="str">
        <f t="shared" si="14"/>
        <v/>
      </c>
      <c r="AL9" s="28"/>
      <c r="AM9" s="16"/>
      <c r="AN9" s="29" t="str">
        <f t="shared" si="15"/>
        <v/>
      </c>
      <c r="AO9" s="25" t="str">
        <f t="shared" si="16"/>
        <v/>
      </c>
      <c r="AP9" s="26" t="str">
        <f t="shared" si="17"/>
        <v/>
      </c>
      <c r="AQ9" s="26" t="str">
        <f t="shared" si="18"/>
        <v/>
      </c>
      <c r="AR9" s="30" t="str">
        <f t="shared" si="19"/>
        <v/>
      </c>
      <c r="AS9" s="30" t="str">
        <f t="shared" si="20"/>
        <v/>
      </c>
    </row>
    <row r="10" spans="1:45" s="1" customFormat="1" ht="24" x14ac:dyDescent="0.3">
      <c r="A10" s="104"/>
      <c r="B10" s="21"/>
      <c r="C10" s="22"/>
      <c r="D10" s="22"/>
      <c r="E10" s="22"/>
      <c r="F10" s="22"/>
      <c r="G10" s="16"/>
      <c r="H10" s="23">
        <f t="shared" si="0"/>
        <v>0</v>
      </c>
      <c r="I10" s="23">
        <f t="shared" si="1"/>
        <v>0</v>
      </c>
      <c r="J10" s="21"/>
      <c r="K10" s="21"/>
      <c r="L10" s="23">
        <f t="shared" si="2"/>
        <v>0</v>
      </c>
      <c r="M10" s="23">
        <f t="shared" si="3"/>
        <v>0</v>
      </c>
      <c r="N10" s="24"/>
      <c r="O10" s="84">
        <f t="shared" si="4"/>
        <v>0.14000000000000001</v>
      </c>
      <c r="P10" s="23">
        <f t="shared" si="5"/>
        <v>0</v>
      </c>
      <c r="Q10" s="23">
        <f t="shared" si="6"/>
        <v>0</v>
      </c>
      <c r="R10" s="86">
        <f t="shared" si="7"/>
        <v>0</v>
      </c>
      <c r="S10" s="32"/>
      <c r="T10" s="32"/>
      <c r="U10" s="96" t="str">
        <f>IFERROR(VLOOKUP(S10,Справка!AF:AG,2,0),"Укажите диапазон объёма")</f>
        <v>Укажите диапазон объёма</v>
      </c>
      <c r="V10" s="64"/>
      <c r="W10" s="66" t="str">
        <f>IFERROR(VLOOKUP($V10,Справка!$Y:$AA,2,0),"")</f>
        <v/>
      </c>
      <c r="X10" s="67" t="str">
        <f>IFERROR(VLOOKUP($V10,Справка!$Y:$AA,3,0),"")</f>
        <v/>
      </c>
      <c r="Y10" s="68" t="str">
        <f t="shared" si="8"/>
        <v/>
      </c>
      <c r="Z10" s="24"/>
      <c r="AA10" s="25">
        <v>2</v>
      </c>
      <c r="AB10" s="26" t="str">
        <f t="shared" si="9"/>
        <v/>
      </c>
      <c r="AC10" s="33"/>
      <c r="AD10" s="25">
        <f t="shared" si="10"/>
        <v>0</v>
      </c>
      <c r="AE10" s="22"/>
      <c r="AF10" s="26">
        <f t="shared" si="11"/>
        <v>0</v>
      </c>
      <c r="AG10" s="27" t="str">
        <f t="shared" si="12"/>
        <v/>
      </c>
      <c r="AH10" s="16"/>
      <c r="AI10" s="25">
        <f t="shared" si="21"/>
        <v>0</v>
      </c>
      <c r="AJ10" s="26">
        <f t="shared" si="13"/>
        <v>0</v>
      </c>
      <c r="AK10" s="27" t="str">
        <f t="shared" si="14"/>
        <v/>
      </c>
      <c r="AL10" s="28"/>
      <c r="AM10" s="16"/>
      <c r="AN10" s="29" t="str">
        <f t="shared" si="15"/>
        <v/>
      </c>
      <c r="AO10" s="25" t="str">
        <f t="shared" si="16"/>
        <v/>
      </c>
      <c r="AP10" s="26" t="str">
        <f t="shared" si="17"/>
        <v/>
      </c>
      <c r="AQ10" s="26" t="str">
        <f t="shared" si="18"/>
        <v/>
      </c>
      <c r="AR10" s="30" t="str">
        <f t="shared" si="19"/>
        <v/>
      </c>
      <c r="AS10" s="30" t="str">
        <f t="shared" si="20"/>
        <v/>
      </c>
    </row>
    <row r="11" spans="1:45" s="1" customFormat="1" ht="24" x14ac:dyDescent="0.3">
      <c r="A11" s="104"/>
      <c r="B11" s="21"/>
      <c r="C11" s="22"/>
      <c r="D11" s="22"/>
      <c r="E11" s="22"/>
      <c r="F11" s="22"/>
      <c r="G11" s="16"/>
      <c r="H11" s="23">
        <f t="shared" si="0"/>
        <v>0</v>
      </c>
      <c r="I11" s="23">
        <f t="shared" si="1"/>
        <v>0</v>
      </c>
      <c r="J11" s="21"/>
      <c r="K11" s="21"/>
      <c r="L11" s="23">
        <f t="shared" si="2"/>
        <v>0</v>
      </c>
      <c r="M11" s="23">
        <f t="shared" si="3"/>
        <v>0</v>
      </c>
      <c r="N11" s="24"/>
      <c r="O11" s="84">
        <f t="shared" si="4"/>
        <v>0.14000000000000001</v>
      </c>
      <c r="P11" s="23">
        <f t="shared" si="5"/>
        <v>0</v>
      </c>
      <c r="Q11" s="23">
        <f t="shared" si="6"/>
        <v>0</v>
      </c>
      <c r="R11" s="86">
        <f t="shared" si="7"/>
        <v>0</v>
      </c>
      <c r="S11" s="32"/>
      <c r="T11" s="32"/>
      <c r="U11" s="96" t="str">
        <f>IFERROR(VLOOKUP(S11,Справка!AF:AG,2,0),"Укажите диапазон объёма")</f>
        <v>Укажите диапазон объёма</v>
      </c>
      <c r="V11" s="64"/>
      <c r="W11" s="66" t="str">
        <f>IFERROR(VLOOKUP($V11,Справка!$Y:$AA,2,0),"")</f>
        <v/>
      </c>
      <c r="X11" s="67" t="str">
        <f>IFERROR(VLOOKUP($V11,Справка!$Y:$AA,3,0),"")</f>
        <v/>
      </c>
      <c r="Y11" s="68" t="str">
        <f t="shared" si="8"/>
        <v/>
      </c>
      <c r="Z11" s="24"/>
      <c r="AA11" s="25">
        <v>2</v>
      </c>
      <c r="AB11" s="26" t="str">
        <f t="shared" si="9"/>
        <v/>
      </c>
      <c r="AC11" s="33"/>
      <c r="AD11" s="25">
        <f t="shared" si="10"/>
        <v>0</v>
      </c>
      <c r="AE11" s="22"/>
      <c r="AF11" s="26">
        <f t="shared" si="11"/>
        <v>0</v>
      </c>
      <c r="AG11" s="27" t="str">
        <f t="shared" si="12"/>
        <v/>
      </c>
      <c r="AH11" s="16"/>
      <c r="AI11" s="25">
        <f t="shared" si="21"/>
        <v>0</v>
      </c>
      <c r="AJ11" s="26">
        <f t="shared" si="13"/>
        <v>0</v>
      </c>
      <c r="AK11" s="27" t="str">
        <f t="shared" si="14"/>
        <v/>
      </c>
      <c r="AL11" s="28"/>
      <c r="AM11" s="16"/>
      <c r="AN11" s="29" t="str">
        <f t="shared" si="15"/>
        <v/>
      </c>
      <c r="AO11" s="25" t="str">
        <f t="shared" si="16"/>
        <v/>
      </c>
      <c r="AP11" s="26" t="str">
        <f t="shared" si="17"/>
        <v/>
      </c>
      <c r="AQ11" s="26" t="str">
        <f t="shared" si="18"/>
        <v/>
      </c>
      <c r="AR11" s="30" t="str">
        <f t="shared" si="19"/>
        <v/>
      </c>
      <c r="AS11" s="30" t="str">
        <f t="shared" si="20"/>
        <v/>
      </c>
    </row>
    <row r="12" spans="1:45" s="1" customFormat="1" ht="22.2" customHeight="1" x14ac:dyDescent="0.3">
      <c r="A12" s="20"/>
      <c r="B12" s="21"/>
      <c r="C12" s="22"/>
      <c r="D12" s="22"/>
      <c r="E12" s="22"/>
      <c r="F12" s="22"/>
      <c r="G12" s="16"/>
      <c r="H12" s="23">
        <f t="shared" si="0"/>
        <v>0</v>
      </c>
      <c r="I12" s="23">
        <f t="shared" si="1"/>
        <v>0</v>
      </c>
      <c r="J12" s="21"/>
      <c r="K12" s="21"/>
      <c r="L12" s="23">
        <f t="shared" si="2"/>
        <v>0</v>
      </c>
      <c r="M12" s="23">
        <f t="shared" si="3"/>
        <v>0</v>
      </c>
      <c r="N12" s="24"/>
      <c r="O12" s="84">
        <f t="shared" si="4"/>
        <v>0.14000000000000001</v>
      </c>
      <c r="P12" s="23">
        <f t="shared" si="5"/>
        <v>0</v>
      </c>
      <c r="Q12" s="23">
        <f t="shared" si="6"/>
        <v>0</v>
      </c>
      <c r="R12" s="86">
        <f t="shared" si="7"/>
        <v>0</v>
      </c>
      <c r="S12" s="32"/>
      <c r="T12" s="32"/>
      <c r="U12" s="96" t="str">
        <f>IFERROR(VLOOKUP(S12,Справка!AF:AG,2,0),"Укажите диапазон объёма")</f>
        <v>Укажите диапазон объёма</v>
      </c>
      <c r="V12" s="64"/>
      <c r="W12" s="66" t="str">
        <f>IFERROR(VLOOKUP($V12,Справка!$Y:$AA,2,0),"")</f>
        <v/>
      </c>
      <c r="X12" s="67" t="str">
        <f>IFERROR(VLOOKUP($V12,Справка!$Y:$AA,3,0),"")</f>
        <v/>
      </c>
      <c r="Y12" s="68" t="str">
        <f t="shared" si="8"/>
        <v/>
      </c>
      <c r="Z12" s="24"/>
      <c r="AA12" s="25">
        <v>2</v>
      </c>
      <c r="AB12" s="26" t="str">
        <f t="shared" si="9"/>
        <v/>
      </c>
      <c r="AC12" s="33"/>
      <c r="AD12" s="25">
        <f t="shared" si="10"/>
        <v>0</v>
      </c>
      <c r="AE12" s="22"/>
      <c r="AF12" s="26">
        <f t="shared" si="11"/>
        <v>0</v>
      </c>
      <c r="AG12" s="27" t="str">
        <f t="shared" si="12"/>
        <v/>
      </c>
      <c r="AH12" s="16"/>
      <c r="AI12" s="25">
        <f t="shared" si="21"/>
        <v>0</v>
      </c>
      <c r="AJ12" s="26">
        <f t="shared" si="13"/>
        <v>0</v>
      </c>
      <c r="AK12" s="27" t="str">
        <f t="shared" si="14"/>
        <v/>
      </c>
      <c r="AL12" s="28"/>
      <c r="AM12" s="16"/>
      <c r="AN12" s="29" t="str">
        <f t="shared" si="15"/>
        <v/>
      </c>
      <c r="AO12" s="25" t="str">
        <f t="shared" si="16"/>
        <v/>
      </c>
      <c r="AP12" s="26" t="str">
        <f t="shared" si="17"/>
        <v/>
      </c>
      <c r="AQ12" s="26" t="str">
        <f t="shared" si="18"/>
        <v/>
      </c>
      <c r="AR12" s="30" t="str">
        <f t="shared" si="19"/>
        <v/>
      </c>
      <c r="AS12" s="30" t="str">
        <f t="shared" si="20"/>
        <v/>
      </c>
    </row>
    <row r="13" spans="1:45" s="1" customFormat="1" ht="22.2" customHeight="1" x14ac:dyDescent="0.3">
      <c r="A13" s="20"/>
      <c r="B13" s="21"/>
      <c r="C13" s="22"/>
      <c r="D13" s="22"/>
      <c r="E13" s="22"/>
      <c r="F13" s="22"/>
      <c r="G13" s="16"/>
      <c r="H13" s="23">
        <f t="shared" si="0"/>
        <v>0</v>
      </c>
      <c r="I13" s="23">
        <f t="shared" si="1"/>
        <v>0</v>
      </c>
      <c r="J13" s="21"/>
      <c r="K13" s="21"/>
      <c r="L13" s="23">
        <f t="shared" si="2"/>
        <v>0</v>
      </c>
      <c r="M13" s="23">
        <f t="shared" si="3"/>
        <v>0</v>
      </c>
      <c r="N13" s="24"/>
      <c r="O13" s="84">
        <f t="shared" si="4"/>
        <v>0.14000000000000001</v>
      </c>
      <c r="P13" s="23">
        <f t="shared" si="5"/>
        <v>0</v>
      </c>
      <c r="Q13" s="23">
        <f t="shared" si="6"/>
        <v>0</v>
      </c>
      <c r="R13" s="86">
        <f t="shared" si="7"/>
        <v>0</v>
      </c>
      <c r="S13" s="32"/>
      <c r="T13" s="32"/>
      <c r="U13" s="96" t="str">
        <f>IFERROR(VLOOKUP(S13,Справка!AF:AG,2,0),"Укажите диапазон объёма")</f>
        <v>Укажите диапазон объёма</v>
      </c>
      <c r="V13" s="64"/>
      <c r="W13" s="66" t="str">
        <f>IFERROR(VLOOKUP($V13,Справка!$Y:$AA,2,0),"")</f>
        <v/>
      </c>
      <c r="X13" s="67" t="str">
        <f>IFERROR(VLOOKUP($V13,Справка!$Y:$AA,3,0),"")</f>
        <v/>
      </c>
      <c r="Y13" s="68" t="str">
        <f t="shared" si="8"/>
        <v/>
      </c>
      <c r="Z13" s="24"/>
      <c r="AA13" s="25">
        <v>25</v>
      </c>
      <c r="AB13" s="26" t="str">
        <f t="shared" si="9"/>
        <v/>
      </c>
      <c r="AC13" s="33"/>
      <c r="AD13" s="25">
        <f t="shared" si="10"/>
        <v>0</v>
      </c>
      <c r="AE13" s="22"/>
      <c r="AF13" s="26">
        <f t="shared" si="11"/>
        <v>0</v>
      </c>
      <c r="AG13" s="27" t="str">
        <f t="shared" si="12"/>
        <v/>
      </c>
      <c r="AH13" s="16"/>
      <c r="AI13" s="25">
        <f t="shared" si="21"/>
        <v>0</v>
      </c>
      <c r="AJ13" s="26">
        <f t="shared" si="13"/>
        <v>0</v>
      </c>
      <c r="AK13" s="27" t="str">
        <f t="shared" si="14"/>
        <v/>
      </c>
      <c r="AL13" s="28"/>
      <c r="AM13" s="16"/>
      <c r="AN13" s="29" t="str">
        <f t="shared" si="15"/>
        <v/>
      </c>
      <c r="AO13" s="25" t="str">
        <f t="shared" si="16"/>
        <v/>
      </c>
      <c r="AP13" s="26" t="str">
        <f t="shared" si="17"/>
        <v/>
      </c>
      <c r="AQ13" s="26" t="str">
        <f t="shared" si="18"/>
        <v/>
      </c>
      <c r="AR13" s="30" t="str">
        <f t="shared" si="19"/>
        <v/>
      </c>
      <c r="AS13" s="30" t="str">
        <f t="shared" si="20"/>
        <v/>
      </c>
    </row>
    <row r="14" spans="1:45" s="1" customFormat="1" ht="22.2" customHeight="1" x14ac:dyDescent="0.3">
      <c r="A14" s="20"/>
      <c r="B14" s="21"/>
      <c r="C14" s="22"/>
      <c r="D14" s="22"/>
      <c r="E14" s="22"/>
      <c r="F14" s="22"/>
      <c r="G14" s="16"/>
      <c r="H14" s="23">
        <f t="shared" si="0"/>
        <v>0</v>
      </c>
      <c r="I14" s="23">
        <f t="shared" si="1"/>
        <v>0</v>
      </c>
      <c r="J14" s="21"/>
      <c r="K14" s="21"/>
      <c r="L14" s="23">
        <f t="shared" si="2"/>
        <v>0</v>
      </c>
      <c r="M14" s="23">
        <f t="shared" si="3"/>
        <v>0</v>
      </c>
      <c r="N14" s="24"/>
      <c r="O14" s="84">
        <f t="shared" si="4"/>
        <v>0.14000000000000001</v>
      </c>
      <c r="P14" s="23">
        <f t="shared" si="5"/>
        <v>0</v>
      </c>
      <c r="Q14" s="23">
        <f t="shared" si="6"/>
        <v>0</v>
      </c>
      <c r="R14" s="86">
        <f t="shared" si="7"/>
        <v>0</v>
      </c>
      <c r="S14" s="32"/>
      <c r="T14" s="32"/>
      <c r="U14" s="96" t="str">
        <f>IFERROR(VLOOKUP(S14,Справка!AF:AG,2,0),"Укажите диапазон объёма")</f>
        <v>Укажите диапазон объёма</v>
      </c>
      <c r="V14" s="64"/>
      <c r="W14" s="66" t="str">
        <f>IFERROR(VLOOKUP($V14,Справка!$Y:$AA,2,0),"")</f>
        <v/>
      </c>
      <c r="X14" s="67" t="str">
        <f>IFERROR(VLOOKUP($V14,Справка!$Y:$AA,3,0),"")</f>
        <v/>
      </c>
      <c r="Y14" s="68" t="str">
        <f t="shared" si="8"/>
        <v/>
      </c>
      <c r="Z14" s="24"/>
      <c r="AA14" s="25">
        <v>25</v>
      </c>
      <c r="AB14" s="26" t="str">
        <f t="shared" si="9"/>
        <v/>
      </c>
      <c r="AC14" s="33"/>
      <c r="AD14" s="25">
        <f t="shared" si="10"/>
        <v>0</v>
      </c>
      <c r="AE14" s="22"/>
      <c r="AF14" s="26">
        <f t="shared" si="11"/>
        <v>0</v>
      </c>
      <c r="AG14" s="27" t="str">
        <f t="shared" si="12"/>
        <v/>
      </c>
      <c r="AH14" s="16"/>
      <c r="AI14" s="25">
        <f t="shared" si="21"/>
        <v>0</v>
      </c>
      <c r="AJ14" s="26">
        <f t="shared" si="13"/>
        <v>0</v>
      </c>
      <c r="AK14" s="27" t="str">
        <f t="shared" si="14"/>
        <v/>
      </c>
      <c r="AL14" s="28"/>
      <c r="AM14" s="16"/>
      <c r="AN14" s="29" t="str">
        <f t="shared" si="15"/>
        <v/>
      </c>
      <c r="AO14" s="25" t="str">
        <f t="shared" si="16"/>
        <v/>
      </c>
      <c r="AP14" s="26" t="str">
        <f t="shared" si="17"/>
        <v/>
      </c>
      <c r="AQ14" s="26" t="str">
        <f t="shared" si="18"/>
        <v/>
      </c>
      <c r="AR14" s="30" t="str">
        <f t="shared" si="19"/>
        <v/>
      </c>
      <c r="AS14" s="30" t="str">
        <f t="shared" si="20"/>
        <v/>
      </c>
    </row>
    <row r="15" spans="1:45" s="1" customFormat="1" ht="22.2" customHeight="1" x14ac:dyDescent="0.3">
      <c r="A15" s="20"/>
      <c r="B15" s="21"/>
      <c r="C15" s="22"/>
      <c r="D15" s="22"/>
      <c r="E15" s="22"/>
      <c r="F15" s="22"/>
      <c r="G15" s="16"/>
      <c r="H15" s="23">
        <f t="shared" si="0"/>
        <v>0</v>
      </c>
      <c r="I15" s="23">
        <f t="shared" si="1"/>
        <v>0</v>
      </c>
      <c r="J15" s="21"/>
      <c r="K15" s="21"/>
      <c r="L15" s="23">
        <f t="shared" si="2"/>
        <v>0</v>
      </c>
      <c r="M15" s="23">
        <f t="shared" si="3"/>
        <v>0</v>
      </c>
      <c r="N15" s="24"/>
      <c r="O15" s="84">
        <f t="shared" si="4"/>
        <v>0.14000000000000001</v>
      </c>
      <c r="P15" s="23">
        <f t="shared" si="5"/>
        <v>0</v>
      </c>
      <c r="Q15" s="23">
        <f t="shared" si="6"/>
        <v>0</v>
      </c>
      <c r="R15" s="86">
        <f t="shared" si="7"/>
        <v>0</v>
      </c>
      <c r="S15" s="32"/>
      <c r="T15" s="32"/>
      <c r="U15" s="96" t="str">
        <f>IFERROR(VLOOKUP(S15,Справка!AF:AG,2,0),"Укажите диапазон объёма")</f>
        <v>Укажите диапазон объёма</v>
      </c>
      <c r="V15" s="64"/>
      <c r="W15" s="66" t="str">
        <f>IFERROR(VLOOKUP($V15,Справка!$Y:$AA,2,0),"")</f>
        <v/>
      </c>
      <c r="X15" s="67" t="str">
        <f>IFERROR(VLOOKUP($V15,Справка!$Y:$AA,3,0),"")</f>
        <v/>
      </c>
      <c r="Y15" s="68" t="str">
        <f t="shared" si="8"/>
        <v/>
      </c>
      <c r="Z15" s="24"/>
      <c r="AA15" s="25">
        <v>25</v>
      </c>
      <c r="AB15" s="26" t="str">
        <f t="shared" si="9"/>
        <v/>
      </c>
      <c r="AC15" s="33"/>
      <c r="AD15" s="25">
        <f t="shared" si="10"/>
        <v>0</v>
      </c>
      <c r="AE15" s="22"/>
      <c r="AF15" s="26">
        <f t="shared" si="11"/>
        <v>0</v>
      </c>
      <c r="AG15" s="27" t="str">
        <f t="shared" si="12"/>
        <v/>
      </c>
      <c r="AH15" s="16"/>
      <c r="AI15" s="25">
        <f t="shared" si="21"/>
        <v>0</v>
      </c>
      <c r="AJ15" s="26">
        <f t="shared" si="13"/>
        <v>0</v>
      </c>
      <c r="AK15" s="27" t="str">
        <f t="shared" si="14"/>
        <v/>
      </c>
      <c r="AL15" s="28"/>
      <c r="AM15" s="16"/>
      <c r="AN15" s="29" t="str">
        <f t="shared" si="15"/>
        <v/>
      </c>
      <c r="AO15" s="25" t="str">
        <f t="shared" si="16"/>
        <v/>
      </c>
      <c r="AP15" s="26" t="str">
        <f t="shared" si="17"/>
        <v/>
      </c>
      <c r="AQ15" s="26" t="str">
        <f t="shared" si="18"/>
        <v/>
      </c>
      <c r="AR15" s="30" t="str">
        <f t="shared" si="19"/>
        <v/>
      </c>
      <c r="AS15" s="30" t="str">
        <f t="shared" si="20"/>
        <v/>
      </c>
    </row>
    <row r="16" spans="1:45" s="1" customFormat="1" ht="22.2" customHeight="1" x14ac:dyDescent="0.3">
      <c r="A16" s="20"/>
      <c r="B16" s="21"/>
      <c r="C16" s="22"/>
      <c r="D16" s="22"/>
      <c r="E16" s="22"/>
      <c r="F16" s="22"/>
      <c r="G16" s="16"/>
      <c r="H16" s="23">
        <f t="shared" si="0"/>
        <v>0</v>
      </c>
      <c r="I16" s="23">
        <f t="shared" si="1"/>
        <v>0</v>
      </c>
      <c r="J16" s="21"/>
      <c r="K16" s="21"/>
      <c r="L16" s="23">
        <f t="shared" si="2"/>
        <v>0</v>
      </c>
      <c r="M16" s="23">
        <f t="shared" si="3"/>
        <v>0</v>
      </c>
      <c r="N16" s="24"/>
      <c r="O16" s="84">
        <f t="shared" si="4"/>
        <v>0.14000000000000001</v>
      </c>
      <c r="P16" s="23">
        <f t="shared" si="5"/>
        <v>0</v>
      </c>
      <c r="Q16" s="23">
        <f t="shared" si="6"/>
        <v>0</v>
      </c>
      <c r="R16" s="86">
        <f t="shared" si="7"/>
        <v>0</v>
      </c>
      <c r="S16" s="32"/>
      <c r="T16" s="32"/>
      <c r="U16" s="96" t="str">
        <f>IFERROR(VLOOKUP(S16,Справка!AF:AG,2,0),"Укажите диапазон объёма")</f>
        <v>Укажите диапазон объёма</v>
      </c>
      <c r="V16" s="64"/>
      <c r="W16" s="66" t="str">
        <f>IFERROR(VLOOKUP($V16,Справка!$Y:$AA,2,0),"")</f>
        <v/>
      </c>
      <c r="X16" s="67" t="str">
        <f>IFERROR(VLOOKUP($V16,Справка!$Y:$AA,3,0),"")</f>
        <v/>
      </c>
      <c r="Y16" s="68" t="str">
        <f t="shared" si="8"/>
        <v/>
      </c>
      <c r="Z16" s="24"/>
      <c r="AA16" s="25">
        <v>25</v>
      </c>
      <c r="AB16" s="26" t="str">
        <f t="shared" si="9"/>
        <v/>
      </c>
      <c r="AC16" s="33"/>
      <c r="AD16" s="25">
        <f t="shared" si="10"/>
        <v>0</v>
      </c>
      <c r="AE16" s="22"/>
      <c r="AF16" s="26">
        <f t="shared" si="11"/>
        <v>0</v>
      </c>
      <c r="AG16" s="27" t="str">
        <f t="shared" si="12"/>
        <v/>
      </c>
      <c r="AH16" s="16"/>
      <c r="AI16" s="25">
        <f t="shared" si="21"/>
        <v>0</v>
      </c>
      <c r="AJ16" s="26">
        <f t="shared" si="13"/>
        <v>0</v>
      </c>
      <c r="AK16" s="27" t="str">
        <f t="shared" si="14"/>
        <v/>
      </c>
      <c r="AL16" s="28"/>
      <c r="AM16" s="16"/>
      <c r="AN16" s="29" t="str">
        <f t="shared" si="15"/>
        <v/>
      </c>
      <c r="AO16" s="25" t="str">
        <f t="shared" si="16"/>
        <v/>
      </c>
      <c r="AP16" s="26" t="str">
        <f t="shared" si="17"/>
        <v/>
      </c>
      <c r="AQ16" s="26" t="str">
        <f t="shared" si="18"/>
        <v/>
      </c>
      <c r="AR16" s="30" t="str">
        <f t="shared" si="19"/>
        <v/>
      </c>
      <c r="AS16" s="30" t="str">
        <f t="shared" si="20"/>
        <v/>
      </c>
    </row>
    <row r="17" spans="1:45" s="1" customFormat="1" ht="22.2" customHeight="1" x14ac:dyDescent="0.3">
      <c r="A17" s="20"/>
      <c r="B17" s="21"/>
      <c r="C17" s="22"/>
      <c r="D17" s="22"/>
      <c r="E17" s="22"/>
      <c r="F17" s="22"/>
      <c r="G17" s="16"/>
      <c r="H17" s="23">
        <f t="shared" si="0"/>
        <v>0</v>
      </c>
      <c r="I17" s="23">
        <f t="shared" si="1"/>
        <v>0</v>
      </c>
      <c r="J17" s="21"/>
      <c r="K17" s="21"/>
      <c r="L17" s="23">
        <f t="shared" si="2"/>
        <v>0</v>
      </c>
      <c r="M17" s="23">
        <f t="shared" si="3"/>
        <v>0</v>
      </c>
      <c r="N17" s="24"/>
      <c r="O17" s="84">
        <f t="shared" si="4"/>
        <v>0.14000000000000001</v>
      </c>
      <c r="P17" s="23">
        <f t="shared" si="5"/>
        <v>0</v>
      </c>
      <c r="Q17" s="23">
        <f t="shared" si="6"/>
        <v>0</v>
      </c>
      <c r="R17" s="86">
        <f t="shared" si="7"/>
        <v>0</v>
      </c>
      <c r="S17" s="32"/>
      <c r="T17" s="32"/>
      <c r="U17" s="96" t="str">
        <f>IFERROR(VLOOKUP(S17,Справка!AF:AG,2,0),"Укажите диапазон объёма")</f>
        <v>Укажите диапазон объёма</v>
      </c>
      <c r="V17" s="64"/>
      <c r="W17" s="66" t="str">
        <f>IFERROR(VLOOKUP($V17,Справка!$Y:$AA,2,0),"")</f>
        <v/>
      </c>
      <c r="X17" s="67" t="str">
        <f>IFERROR(VLOOKUP($V17,Справка!$Y:$AA,3,0),"")</f>
        <v/>
      </c>
      <c r="Y17" s="68" t="str">
        <f t="shared" si="8"/>
        <v/>
      </c>
      <c r="Z17" s="24"/>
      <c r="AA17" s="25">
        <v>25</v>
      </c>
      <c r="AB17" s="26" t="str">
        <f t="shared" si="9"/>
        <v/>
      </c>
      <c r="AC17" s="33"/>
      <c r="AD17" s="25">
        <f t="shared" si="10"/>
        <v>0</v>
      </c>
      <c r="AE17" s="22"/>
      <c r="AF17" s="26">
        <f t="shared" si="11"/>
        <v>0</v>
      </c>
      <c r="AG17" s="27" t="str">
        <f t="shared" si="12"/>
        <v/>
      </c>
      <c r="AH17" s="16"/>
      <c r="AI17" s="25">
        <f t="shared" si="21"/>
        <v>0</v>
      </c>
      <c r="AJ17" s="26">
        <f t="shared" si="13"/>
        <v>0</v>
      </c>
      <c r="AK17" s="27" t="str">
        <f t="shared" si="14"/>
        <v/>
      </c>
      <c r="AL17" s="28"/>
      <c r="AM17" s="16"/>
      <c r="AN17" s="29" t="str">
        <f t="shared" si="15"/>
        <v/>
      </c>
      <c r="AO17" s="25" t="str">
        <f t="shared" si="16"/>
        <v/>
      </c>
      <c r="AP17" s="26" t="str">
        <f t="shared" si="17"/>
        <v/>
      </c>
      <c r="AQ17" s="26" t="str">
        <f t="shared" si="18"/>
        <v/>
      </c>
      <c r="AR17" s="30" t="str">
        <f t="shared" si="19"/>
        <v/>
      </c>
      <c r="AS17" s="30" t="str">
        <f t="shared" si="20"/>
        <v/>
      </c>
    </row>
    <row r="18" spans="1:45" s="1" customFormat="1" ht="22.2" customHeight="1" x14ac:dyDescent="0.3">
      <c r="A18" s="20"/>
      <c r="B18" s="21"/>
      <c r="C18" s="22"/>
      <c r="D18" s="22"/>
      <c r="E18" s="22"/>
      <c r="F18" s="22"/>
      <c r="G18" s="16"/>
      <c r="H18" s="23">
        <f t="shared" si="0"/>
        <v>0</v>
      </c>
      <c r="I18" s="23">
        <f t="shared" si="1"/>
        <v>0</v>
      </c>
      <c r="J18" s="21"/>
      <c r="K18" s="21"/>
      <c r="L18" s="23">
        <f t="shared" si="2"/>
        <v>0</v>
      </c>
      <c r="M18" s="23">
        <f t="shared" si="3"/>
        <v>0</v>
      </c>
      <c r="N18" s="24"/>
      <c r="O18" s="84">
        <f t="shared" si="4"/>
        <v>0.14000000000000001</v>
      </c>
      <c r="P18" s="23">
        <f t="shared" si="5"/>
        <v>0</v>
      </c>
      <c r="Q18" s="23">
        <f t="shared" si="6"/>
        <v>0</v>
      </c>
      <c r="R18" s="86">
        <f t="shared" si="7"/>
        <v>0</v>
      </c>
      <c r="S18" s="32"/>
      <c r="T18" s="32"/>
      <c r="U18" s="96" t="str">
        <f>IFERROR(VLOOKUP(S18,Справка!AF:AG,2,0),"Укажите диапазон объёма")</f>
        <v>Укажите диапазон объёма</v>
      </c>
      <c r="V18" s="64"/>
      <c r="W18" s="66" t="str">
        <f>IFERROR(VLOOKUP($V18,Справка!$Y:$AA,2,0),"")</f>
        <v/>
      </c>
      <c r="X18" s="67" t="str">
        <f>IFERROR(VLOOKUP($V18,Справка!$Y:$AA,3,0),"")</f>
        <v/>
      </c>
      <c r="Y18" s="68" t="str">
        <f t="shared" si="8"/>
        <v/>
      </c>
      <c r="Z18" s="24"/>
      <c r="AA18" s="25">
        <v>25</v>
      </c>
      <c r="AB18" s="26" t="str">
        <f t="shared" si="9"/>
        <v/>
      </c>
      <c r="AC18" s="33"/>
      <c r="AD18" s="25">
        <f t="shared" si="10"/>
        <v>0</v>
      </c>
      <c r="AE18" s="22"/>
      <c r="AF18" s="26">
        <f t="shared" si="11"/>
        <v>0</v>
      </c>
      <c r="AG18" s="27" t="str">
        <f t="shared" si="12"/>
        <v/>
      </c>
      <c r="AH18" s="16"/>
      <c r="AI18" s="25">
        <f t="shared" si="21"/>
        <v>0</v>
      </c>
      <c r="AJ18" s="26">
        <f t="shared" si="13"/>
        <v>0</v>
      </c>
      <c r="AK18" s="27" t="str">
        <f t="shared" si="14"/>
        <v/>
      </c>
      <c r="AL18" s="28"/>
      <c r="AM18" s="16"/>
      <c r="AN18" s="29" t="str">
        <f t="shared" si="15"/>
        <v/>
      </c>
      <c r="AO18" s="25" t="str">
        <f t="shared" si="16"/>
        <v/>
      </c>
      <c r="AP18" s="26" t="str">
        <f t="shared" si="17"/>
        <v/>
      </c>
      <c r="AQ18" s="26" t="str">
        <f t="shared" si="18"/>
        <v/>
      </c>
      <c r="AR18" s="30" t="str">
        <f t="shared" si="19"/>
        <v/>
      </c>
      <c r="AS18" s="30" t="str">
        <f t="shared" si="20"/>
        <v/>
      </c>
    </row>
    <row r="19" spans="1:45" s="1" customFormat="1" ht="22.2" customHeight="1" x14ac:dyDescent="0.3">
      <c r="A19" s="20"/>
      <c r="B19" s="21"/>
      <c r="C19" s="22"/>
      <c r="D19" s="22"/>
      <c r="E19" s="22"/>
      <c r="F19" s="22"/>
      <c r="G19" s="16"/>
      <c r="H19" s="23">
        <f t="shared" si="0"/>
        <v>0</v>
      </c>
      <c r="I19" s="23">
        <f t="shared" si="1"/>
        <v>0</v>
      </c>
      <c r="J19" s="21"/>
      <c r="K19" s="21"/>
      <c r="L19" s="23">
        <f t="shared" si="2"/>
        <v>0</v>
      </c>
      <c r="M19" s="23">
        <f t="shared" si="3"/>
        <v>0</v>
      </c>
      <c r="N19" s="24"/>
      <c r="O19" s="84">
        <f t="shared" si="4"/>
        <v>0.14000000000000001</v>
      </c>
      <c r="P19" s="23">
        <f t="shared" si="5"/>
        <v>0</v>
      </c>
      <c r="Q19" s="23">
        <f t="shared" si="6"/>
        <v>0</v>
      </c>
      <c r="R19" s="86">
        <f t="shared" si="7"/>
        <v>0</v>
      </c>
      <c r="S19" s="32"/>
      <c r="T19" s="32"/>
      <c r="U19" s="96" t="str">
        <f>IFERROR(VLOOKUP(S19,Справка!AF:AG,2,0),"Укажите диапазон объёма")</f>
        <v>Укажите диапазон объёма</v>
      </c>
      <c r="V19" s="64"/>
      <c r="W19" s="66" t="str">
        <f>IFERROR(VLOOKUP($V19,Справка!$Y:$AA,2,0),"")</f>
        <v/>
      </c>
      <c r="X19" s="67" t="str">
        <f>IFERROR(VLOOKUP($V19,Справка!$Y:$AA,3,0),"")</f>
        <v/>
      </c>
      <c r="Y19" s="68" t="str">
        <f t="shared" si="8"/>
        <v/>
      </c>
      <c r="Z19" s="24"/>
      <c r="AA19" s="25">
        <v>25</v>
      </c>
      <c r="AB19" s="26" t="str">
        <f t="shared" si="9"/>
        <v/>
      </c>
      <c r="AC19" s="33"/>
      <c r="AD19" s="25">
        <f t="shared" si="10"/>
        <v>0</v>
      </c>
      <c r="AE19" s="22"/>
      <c r="AF19" s="26">
        <f t="shared" si="11"/>
        <v>0</v>
      </c>
      <c r="AG19" s="27" t="str">
        <f t="shared" si="12"/>
        <v/>
      </c>
      <c r="AH19" s="16"/>
      <c r="AI19" s="25">
        <f t="shared" si="21"/>
        <v>0</v>
      </c>
      <c r="AJ19" s="26">
        <f t="shared" si="13"/>
        <v>0</v>
      </c>
      <c r="AK19" s="27" t="str">
        <f t="shared" si="14"/>
        <v/>
      </c>
      <c r="AL19" s="28"/>
      <c r="AM19" s="16"/>
      <c r="AN19" s="29" t="str">
        <f t="shared" si="15"/>
        <v/>
      </c>
      <c r="AO19" s="25" t="str">
        <f t="shared" si="16"/>
        <v/>
      </c>
      <c r="AP19" s="26" t="str">
        <f t="shared" si="17"/>
        <v/>
      </c>
      <c r="AQ19" s="26" t="str">
        <f t="shared" si="18"/>
        <v/>
      </c>
      <c r="AR19" s="30" t="str">
        <f t="shared" si="19"/>
        <v/>
      </c>
      <c r="AS19" s="30" t="str">
        <f t="shared" si="20"/>
        <v/>
      </c>
    </row>
    <row r="20" spans="1:45" s="1" customFormat="1" ht="22.2" customHeight="1" x14ac:dyDescent="0.3">
      <c r="A20" s="20"/>
      <c r="B20" s="21"/>
      <c r="C20" s="22"/>
      <c r="D20" s="22"/>
      <c r="E20" s="22"/>
      <c r="F20" s="22"/>
      <c r="G20" s="16"/>
      <c r="H20" s="23">
        <f t="shared" si="0"/>
        <v>0</v>
      </c>
      <c r="I20" s="23">
        <f t="shared" si="1"/>
        <v>0</v>
      </c>
      <c r="J20" s="21"/>
      <c r="K20" s="21"/>
      <c r="L20" s="23">
        <f t="shared" si="2"/>
        <v>0</v>
      </c>
      <c r="M20" s="23">
        <f t="shared" si="3"/>
        <v>0</v>
      </c>
      <c r="N20" s="24"/>
      <c r="O20" s="84">
        <f t="shared" si="4"/>
        <v>0.14000000000000001</v>
      </c>
      <c r="P20" s="23">
        <f t="shared" si="5"/>
        <v>0</v>
      </c>
      <c r="Q20" s="23">
        <f t="shared" si="6"/>
        <v>0</v>
      </c>
      <c r="R20" s="86">
        <f t="shared" si="7"/>
        <v>0</v>
      </c>
      <c r="S20" s="32"/>
      <c r="T20" s="32"/>
      <c r="U20" s="96" t="str">
        <f>IFERROR(VLOOKUP(S20,Справка!AF:AG,2,0),"Укажите диапазон объёма")</f>
        <v>Укажите диапазон объёма</v>
      </c>
      <c r="V20" s="64"/>
      <c r="W20" s="66" t="str">
        <f>IFERROR(VLOOKUP($V20,Справка!$Y:$AA,2,0),"")</f>
        <v/>
      </c>
      <c r="X20" s="67" t="str">
        <f>IFERROR(VLOOKUP($V20,Справка!$Y:$AA,3,0),"")</f>
        <v/>
      </c>
      <c r="Y20" s="68" t="str">
        <f t="shared" si="8"/>
        <v/>
      </c>
      <c r="Z20" s="24"/>
      <c r="AA20" s="25">
        <v>25</v>
      </c>
      <c r="AB20" s="26" t="str">
        <f t="shared" si="9"/>
        <v/>
      </c>
      <c r="AC20" s="33"/>
      <c r="AD20" s="25">
        <f t="shared" si="10"/>
        <v>0</v>
      </c>
      <c r="AE20" s="22"/>
      <c r="AF20" s="26">
        <f t="shared" si="11"/>
        <v>0</v>
      </c>
      <c r="AG20" s="27" t="str">
        <f t="shared" si="12"/>
        <v/>
      </c>
      <c r="AH20" s="16"/>
      <c r="AI20" s="25">
        <f t="shared" si="21"/>
        <v>0</v>
      </c>
      <c r="AJ20" s="26">
        <f t="shared" si="13"/>
        <v>0</v>
      </c>
      <c r="AK20" s="27" t="str">
        <f t="shared" si="14"/>
        <v/>
      </c>
      <c r="AL20" s="28"/>
      <c r="AM20" s="16"/>
      <c r="AN20" s="29" t="str">
        <f t="shared" si="15"/>
        <v/>
      </c>
      <c r="AO20" s="25" t="str">
        <f t="shared" si="16"/>
        <v/>
      </c>
      <c r="AP20" s="26" t="str">
        <f t="shared" si="17"/>
        <v/>
      </c>
      <c r="AQ20" s="26" t="str">
        <f t="shared" si="18"/>
        <v/>
      </c>
      <c r="AR20" s="30" t="str">
        <f t="shared" si="19"/>
        <v/>
      </c>
      <c r="AS20" s="30" t="str">
        <f t="shared" si="20"/>
        <v/>
      </c>
    </row>
    <row r="21" spans="1:45" s="1" customFormat="1" ht="22.2" customHeight="1" x14ac:dyDescent="0.3">
      <c r="A21" s="20"/>
      <c r="B21" s="21"/>
      <c r="C21" s="22"/>
      <c r="D21" s="22"/>
      <c r="E21" s="22"/>
      <c r="F21" s="22"/>
      <c r="G21" s="16"/>
      <c r="H21" s="23">
        <f t="shared" si="0"/>
        <v>0</v>
      </c>
      <c r="I21" s="23">
        <f t="shared" si="1"/>
        <v>0</v>
      </c>
      <c r="J21" s="21"/>
      <c r="K21" s="21"/>
      <c r="L21" s="23">
        <f t="shared" si="2"/>
        <v>0</v>
      </c>
      <c r="M21" s="23">
        <f t="shared" si="3"/>
        <v>0</v>
      </c>
      <c r="N21" s="24"/>
      <c r="O21" s="84">
        <f t="shared" si="4"/>
        <v>0.14000000000000001</v>
      </c>
      <c r="P21" s="23">
        <f t="shared" si="5"/>
        <v>0</v>
      </c>
      <c r="Q21" s="23">
        <f t="shared" si="6"/>
        <v>0</v>
      </c>
      <c r="R21" s="86">
        <f t="shared" si="7"/>
        <v>0</v>
      </c>
      <c r="S21" s="32"/>
      <c r="T21" s="32"/>
      <c r="U21" s="96" t="str">
        <f>IFERROR(VLOOKUP(S21,Справка!AF:AG,2,0),"Укажите диапазон объёма")</f>
        <v>Укажите диапазон объёма</v>
      </c>
      <c r="V21" s="64"/>
      <c r="W21" s="66" t="str">
        <f>IFERROR(VLOOKUP($V21,Справка!$Y:$AA,2,0),"")</f>
        <v/>
      </c>
      <c r="X21" s="67" t="str">
        <f>IFERROR(VLOOKUP($V21,Справка!$Y:$AA,3,0),"")</f>
        <v/>
      </c>
      <c r="Y21" s="68" t="str">
        <f t="shared" si="8"/>
        <v/>
      </c>
      <c r="Z21" s="24"/>
      <c r="AA21" s="25">
        <v>25</v>
      </c>
      <c r="AB21" s="26" t="str">
        <f t="shared" si="9"/>
        <v/>
      </c>
      <c r="AC21" s="33"/>
      <c r="AD21" s="25">
        <f t="shared" si="10"/>
        <v>0</v>
      </c>
      <c r="AE21" s="22"/>
      <c r="AF21" s="26">
        <f t="shared" si="11"/>
        <v>0</v>
      </c>
      <c r="AG21" s="27" t="str">
        <f t="shared" si="12"/>
        <v/>
      </c>
      <c r="AH21" s="16"/>
      <c r="AI21" s="25">
        <f t="shared" si="21"/>
        <v>0</v>
      </c>
      <c r="AJ21" s="26">
        <f t="shared" si="13"/>
        <v>0</v>
      </c>
      <c r="AK21" s="27" t="str">
        <f t="shared" si="14"/>
        <v/>
      </c>
      <c r="AL21" s="28"/>
      <c r="AM21" s="16"/>
      <c r="AN21" s="29" t="str">
        <f t="shared" si="15"/>
        <v/>
      </c>
      <c r="AO21" s="25" t="str">
        <f t="shared" si="16"/>
        <v/>
      </c>
      <c r="AP21" s="26" t="str">
        <f t="shared" si="17"/>
        <v/>
      </c>
      <c r="AQ21" s="26" t="str">
        <f t="shared" si="18"/>
        <v/>
      </c>
      <c r="AR21" s="30" t="str">
        <f t="shared" si="19"/>
        <v/>
      </c>
      <c r="AS21" s="30" t="str">
        <f t="shared" si="20"/>
        <v/>
      </c>
    </row>
    <row r="22" spans="1:45" s="1" customFormat="1" ht="22.2" customHeight="1" x14ac:dyDescent="0.3">
      <c r="A22" s="20"/>
      <c r="B22" s="21"/>
      <c r="C22" s="22"/>
      <c r="D22" s="22"/>
      <c r="E22" s="22"/>
      <c r="F22" s="22"/>
      <c r="G22" s="16"/>
      <c r="H22" s="23">
        <f t="shared" si="0"/>
        <v>0</v>
      </c>
      <c r="I22" s="23">
        <f t="shared" si="1"/>
        <v>0</v>
      </c>
      <c r="J22" s="21"/>
      <c r="K22" s="21"/>
      <c r="L22" s="23">
        <f t="shared" si="2"/>
        <v>0</v>
      </c>
      <c r="M22" s="23">
        <f t="shared" si="3"/>
        <v>0</v>
      </c>
      <c r="N22" s="24"/>
      <c r="O22" s="84">
        <f t="shared" si="4"/>
        <v>0.14000000000000001</v>
      </c>
      <c r="P22" s="23">
        <f t="shared" si="5"/>
        <v>0</v>
      </c>
      <c r="Q22" s="23">
        <f t="shared" si="6"/>
        <v>0</v>
      </c>
      <c r="R22" s="86">
        <f t="shared" si="7"/>
        <v>0</v>
      </c>
      <c r="S22" s="32"/>
      <c r="T22" s="32"/>
      <c r="U22" s="96" t="str">
        <f>IFERROR(VLOOKUP(S22,Справка!AF:AG,2,0),"Укажите диапазон объёма")</f>
        <v>Укажите диапазон объёма</v>
      </c>
      <c r="V22" s="64"/>
      <c r="W22" s="66" t="str">
        <f>IFERROR(VLOOKUP($V22,Справка!$Y:$AA,2,0),"")</f>
        <v/>
      </c>
      <c r="X22" s="67" t="str">
        <f>IFERROR(VLOOKUP($V22,Справка!$Y:$AA,3,0),"")</f>
        <v/>
      </c>
      <c r="Y22" s="68" t="str">
        <f t="shared" si="8"/>
        <v/>
      </c>
      <c r="Z22" s="24"/>
      <c r="AA22" s="25">
        <v>25</v>
      </c>
      <c r="AB22" s="26" t="str">
        <f t="shared" si="9"/>
        <v/>
      </c>
      <c r="AC22" s="33"/>
      <c r="AD22" s="25">
        <f t="shared" si="10"/>
        <v>0</v>
      </c>
      <c r="AE22" s="22"/>
      <c r="AF22" s="26">
        <f t="shared" si="11"/>
        <v>0</v>
      </c>
      <c r="AG22" s="27" t="str">
        <f t="shared" si="12"/>
        <v/>
      </c>
      <c r="AH22" s="16"/>
      <c r="AI22" s="25">
        <f t="shared" si="21"/>
        <v>0</v>
      </c>
      <c r="AJ22" s="26">
        <f t="shared" si="13"/>
        <v>0</v>
      </c>
      <c r="AK22" s="27" t="str">
        <f t="shared" si="14"/>
        <v/>
      </c>
      <c r="AL22" s="28"/>
      <c r="AM22" s="16"/>
      <c r="AN22" s="29" t="str">
        <f t="shared" si="15"/>
        <v/>
      </c>
      <c r="AO22" s="25" t="str">
        <f t="shared" si="16"/>
        <v/>
      </c>
      <c r="AP22" s="26" t="str">
        <f t="shared" si="17"/>
        <v/>
      </c>
      <c r="AQ22" s="26" t="str">
        <f t="shared" si="18"/>
        <v/>
      </c>
      <c r="AR22" s="30" t="str">
        <f t="shared" si="19"/>
        <v/>
      </c>
      <c r="AS22" s="30" t="str">
        <f t="shared" si="20"/>
        <v/>
      </c>
    </row>
    <row r="23" spans="1:45" s="1" customFormat="1" ht="22.2" customHeight="1" x14ac:dyDescent="0.3">
      <c r="A23" s="20"/>
      <c r="B23" s="21"/>
      <c r="C23" s="22"/>
      <c r="D23" s="22"/>
      <c r="E23" s="22"/>
      <c r="F23" s="22"/>
      <c r="G23" s="16"/>
      <c r="H23" s="23">
        <f t="shared" si="0"/>
        <v>0</v>
      </c>
      <c r="I23" s="23">
        <f t="shared" si="1"/>
        <v>0</v>
      </c>
      <c r="J23" s="21"/>
      <c r="K23" s="21"/>
      <c r="L23" s="23">
        <f t="shared" si="2"/>
        <v>0</v>
      </c>
      <c r="M23" s="23">
        <f t="shared" si="3"/>
        <v>0</v>
      </c>
      <c r="N23" s="24"/>
      <c r="O23" s="84">
        <f t="shared" si="4"/>
        <v>0.14000000000000001</v>
      </c>
      <c r="P23" s="23">
        <f t="shared" si="5"/>
        <v>0</v>
      </c>
      <c r="Q23" s="23">
        <f t="shared" si="6"/>
        <v>0</v>
      </c>
      <c r="R23" s="86">
        <f t="shared" si="7"/>
        <v>0</v>
      </c>
      <c r="S23" s="32"/>
      <c r="T23" s="32"/>
      <c r="U23" s="96" t="str">
        <f>IFERROR(VLOOKUP(S23,Справка!AF:AG,2,0),"Укажите диапазон объёма")</f>
        <v>Укажите диапазон объёма</v>
      </c>
      <c r="V23" s="64"/>
      <c r="W23" s="66" t="str">
        <f>IFERROR(VLOOKUP($V23,Справка!$Y:$AA,2,0),"")</f>
        <v/>
      </c>
      <c r="X23" s="67" t="str">
        <f>IFERROR(VLOOKUP($V23,Справка!$Y:$AA,3,0),"")</f>
        <v/>
      </c>
      <c r="Y23" s="68" t="str">
        <f t="shared" si="8"/>
        <v/>
      </c>
      <c r="Z23" s="24"/>
      <c r="AA23" s="25">
        <v>25</v>
      </c>
      <c r="AB23" s="26" t="str">
        <f t="shared" si="9"/>
        <v/>
      </c>
      <c r="AC23" s="33"/>
      <c r="AD23" s="25">
        <f t="shared" si="10"/>
        <v>0</v>
      </c>
      <c r="AE23" s="22"/>
      <c r="AF23" s="26">
        <f t="shared" si="11"/>
        <v>0</v>
      </c>
      <c r="AG23" s="27" t="str">
        <f t="shared" si="12"/>
        <v/>
      </c>
      <c r="AH23" s="16"/>
      <c r="AI23" s="25">
        <f t="shared" si="21"/>
        <v>0</v>
      </c>
      <c r="AJ23" s="26">
        <f t="shared" si="13"/>
        <v>0</v>
      </c>
      <c r="AK23" s="27" t="str">
        <f t="shared" si="14"/>
        <v/>
      </c>
      <c r="AL23" s="28"/>
      <c r="AM23" s="16"/>
      <c r="AN23" s="29" t="str">
        <f t="shared" si="15"/>
        <v/>
      </c>
      <c r="AO23" s="25" t="str">
        <f t="shared" si="16"/>
        <v/>
      </c>
      <c r="AP23" s="26" t="str">
        <f t="shared" si="17"/>
        <v/>
      </c>
      <c r="AQ23" s="26" t="str">
        <f t="shared" si="18"/>
        <v/>
      </c>
      <c r="AR23" s="30" t="str">
        <f t="shared" si="19"/>
        <v/>
      </c>
      <c r="AS23" s="30" t="str">
        <f t="shared" si="20"/>
        <v/>
      </c>
    </row>
    <row r="24" spans="1:45" s="1" customFormat="1" ht="22.2" customHeight="1" x14ac:dyDescent="0.3">
      <c r="A24" s="20"/>
      <c r="B24" s="21"/>
      <c r="C24" s="22"/>
      <c r="D24" s="22"/>
      <c r="E24" s="22"/>
      <c r="F24" s="22"/>
      <c r="G24" s="16"/>
      <c r="H24" s="23">
        <f t="shared" si="0"/>
        <v>0</v>
      </c>
      <c r="I24" s="23">
        <f t="shared" si="1"/>
        <v>0</v>
      </c>
      <c r="J24" s="21"/>
      <c r="K24" s="21"/>
      <c r="L24" s="23">
        <f t="shared" si="2"/>
        <v>0</v>
      </c>
      <c r="M24" s="23">
        <f t="shared" si="3"/>
        <v>0</v>
      </c>
      <c r="N24" s="24"/>
      <c r="O24" s="84">
        <f t="shared" si="4"/>
        <v>0.14000000000000001</v>
      </c>
      <c r="P24" s="23">
        <f t="shared" si="5"/>
        <v>0</v>
      </c>
      <c r="Q24" s="23">
        <f t="shared" si="6"/>
        <v>0</v>
      </c>
      <c r="R24" s="86">
        <f t="shared" si="7"/>
        <v>0</v>
      </c>
      <c r="S24" s="32"/>
      <c r="T24" s="32"/>
      <c r="U24" s="96" t="str">
        <f>IFERROR(VLOOKUP(S24,Справка!AF:AG,2,0),"Укажите диапазон объёма")</f>
        <v>Укажите диапазон объёма</v>
      </c>
      <c r="V24" s="64"/>
      <c r="W24" s="66" t="str">
        <f>IFERROR(VLOOKUP($V24,Справка!$Y:$AA,2,0),"")</f>
        <v/>
      </c>
      <c r="X24" s="67" t="str">
        <f>IFERROR(VLOOKUP($V24,Справка!$Y:$AA,3,0),"")</f>
        <v/>
      </c>
      <c r="Y24" s="68" t="str">
        <f t="shared" si="8"/>
        <v/>
      </c>
      <c r="Z24" s="24"/>
      <c r="AA24" s="25">
        <v>25</v>
      </c>
      <c r="AB24" s="26" t="str">
        <f t="shared" si="9"/>
        <v/>
      </c>
      <c r="AC24" s="33"/>
      <c r="AD24" s="25">
        <f t="shared" si="10"/>
        <v>0</v>
      </c>
      <c r="AE24" s="22"/>
      <c r="AF24" s="26">
        <f t="shared" si="11"/>
        <v>0</v>
      </c>
      <c r="AG24" s="27" t="str">
        <f t="shared" si="12"/>
        <v/>
      </c>
      <c r="AH24" s="16"/>
      <c r="AI24" s="25">
        <f t="shared" si="21"/>
        <v>0</v>
      </c>
      <c r="AJ24" s="26">
        <f t="shared" si="13"/>
        <v>0</v>
      </c>
      <c r="AK24" s="27" t="str">
        <f t="shared" si="14"/>
        <v/>
      </c>
      <c r="AL24" s="28"/>
      <c r="AM24" s="16"/>
      <c r="AN24" s="29" t="str">
        <f t="shared" si="15"/>
        <v/>
      </c>
      <c r="AO24" s="25" t="str">
        <f t="shared" si="16"/>
        <v/>
      </c>
      <c r="AP24" s="26" t="str">
        <f t="shared" si="17"/>
        <v/>
      </c>
      <c r="AQ24" s="26" t="str">
        <f t="shared" si="18"/>
        <v/>
      </c>
      <c r="AR24" s="30" t="str">
        <f t="shared" si="19"/>
        <v/>
      </c>
      <c r="AS24" s="30" t="str">
        <f t="shared" si="20"/>
        <v/>
      </c>
    </row>
    <row r="25" spans="1:45" s="1" customFormat="1" ht="22.2" customHeight="1" x14ac:dyDescent="0.3">
      <c r="A25" s="20"/>
      <c r="B25" s="21"/>
      <c r="C25" s="22"/>
      <c r="D25" s="22"/>
      <c r="E25" s="22"/>
      <c r="F25" s="22"/>
      <c r="G25" s="16"/>
      <c r="H25" s="23">
        <f t="shared" si="0"/>
        <v>0</v>
      </c>
      <c r="I25" s="23">
        <f t="shared" si="1"/>
        <v>0</v>
      </c>
      <c r="J25" s="21"/>
      <c r="K25" s="21"/>
      <c r="L25" s="23">
        <f t="shared" si="2"/>
        <v>0</v>
      </c>
      <c r="M25" s="23">
        <f t="shared" si="3"/>
        <v>0</v>
      </c>
      <c r="N25" s="24"/>
      <c r="O25" s="84">
        <f t="shared" si="4"/>
        <v>0.14000000000000001</v>
      </c>
      <c r="P25" s="23">
        <f t="shared" si="5"/>
        <v>0</v>
      </c>
      <c r="Q25" s="23">
        <f t="shared" si="6"/>
        <v>0</v>
      </c>
      <c r="R25" s="86">
        <f t="shared" si="7"/>
        <v>0</v>
      </c>
      <c r="S25" s="32"/>
      <c r="T25" s="32"/>
      <c r="U25" s="96" t="str">
        <f>IFERROR(VLOOKUP(S25,Справка!AF:AG,2,0),"Укажите диапазон объёма")</f>
        <v>Укажите диапазон объёма</v>
      </c>
      <c r="V25" s="64"/>
      <c r="W25" s="66" t="str">
        <f>IFERROR(VLOOKUP($V25,Справка!$Y:$AA,2,0),"")</f>
        <v/>
      </c>
      <c r="X25" s="67" t="str">
        <f>IFERROR(VLOOKUP($V25,Справка!$Y:$AA,3,0),"")</f>
        <v/>
      </c>
      <c r="Y25" s="68" t="str">
        <f t="shared" si="8"/>
        <v/>
      </c>
      <c r="Z25" s="24"/>
      <c r="AA25" s="25">
        <v>25</v>
      </c>
      <c r="AB25" s="26" t="str">
        <f t="shared" si="9"/>
        <v/>
      </c>
      <c r="AC25" s="33"/>
      <c r="AD25" s="25">
        <f t="shared" si="10"/>
        <v>0</v>
      </c>
      <c r="AE25" s="22"/>
      <c r="AF25" s="26">
        <f t="shared" si="11"/>
        <v>0</v>
      </c>
      <c r="AG25" s="27" t="str">
        <f t="shared" si="12"/>
        <v/>
      </c>
      <c r="AH25" s="16"/>
      <c r="AI25" s="25">
        <f t="shared" si="21"/>
        <v>0</v>
      </c>
      <c r="AJ25" s="26">
        <f t="shared" si="13"/>
        <v>0</v>
      </c>
      <c r="AK25" s="27" t="str">
        <f t="shared" si="14"/>
        <v/>
      </c>
      <c r="AL25" s="28"/>
      <c r="AM25" s="16"/>
      <c r="AN25" s="29" t="str">
        <f t="shared" si="15"/>
        <v/>
      </c>
      <c r="AO25" s="25" t="str">
        <f t="shared" si="16"/>
        <v/>
      </c>
      <c r="AP25" s="26" t="str">
        <f t="shared" si="17"/>
        <v/>
      </c>
      <c r="AQ25" s="26" t="str">
        <f t="shared" si="18"/>
        <v/>
      </c>
      <c r="AR25" s="30" t="str">
        <f t="shared" si="19"/>
        <v/>
      </c>
      <c r="AS25" s="30" t="str">
        <f t="shared" si="20"/>
        <v/>
      </c>
    </row>
    <row r="26" spans="1:45" s="1" customFormat="1" ht="22.2" customHeight="1" x14ac:dyDescent="0.3">
      <c r="A26" s="20"/>
      <c r="B26" s="21"/>
      <c r="C26" s="22"/>
      <c r="D26" s="22"/>
      <c r="E26" s="22"/>
      <c r="F26" s="22"/>
      <c r="G26" s="16"/>
      <c r="H26" s="23">
        <f t="shared" si="0"/>
        <v>0</v>
      </c>
      <c r="I26" s="23">
        <f t="shared" si="1"/>
        <v>0</v>
      </c>
      <c r="J26" s="21"/>
      <c r="K26" s="21"/>
      <c r="L26" s="23">
        <f t="shared" si="2"/>
        <v>0</v>
      </c>
      <c r="M26" s="23">
        <f t="shared" si="3"/>
        <v>0</v>
      </c>
      <c r="N26" s="24"/>
      <c r="O26" s="84">
        <f t="shared" si="4"/>
        <v>0.14000000000000001</v>
      </c>
      <c r="P26" s="23">
        <f t="shared" si="5"/>
        <v>0</v>
      </c>
      <c r="Q26" s="23">
        <f t="shared" si="6"/>
        <v>0</v>
      </c>
      <c r="R26" s="86">
        <f t="shared" si="7"/>
        <v>0</v>
      </c>
      <c r="S26" s="32"/>
      <c r="T26" s="32"/>
      <c r="U26" s="96" t="str">
        <f>IFERROR(VLOOKUP(S26,Справка!AF:AG,2,0),"Укажите диапазон объёма")</f>
        <v>Укажите диапазон объёма</v>
      </c>
      <c r="V26" s="64"/>
      <c r="W26" s="66" t="str">
        <f>IFERROR(VLOOKUP($V26,Справка!$Y:$AA,2,0),"")</f>
        <v/>
      </c>
      <c r="X26" s="67" t="str">
        <f>IFERROR(VLOOKUP($V26,Справка!$Y:$AA,3,0),"")</f>
        <v/>
      </c>
      <c r="Y26" s="68" t="str">
        <f t="shared" si="8"/>
        <v/>
      </c>
      <c r="Z26" s="24"/>
      <c r="AA26" s="25">
        <v>25</v>
      </c>
      <c r="AB26" s="26" t="str">
        <f t="shared" si="9"/>
        <v/>
      </c>
      <c r="AC26" s="33"/>
      <c r="AD26" s="25">
        <f t="shared" si="10"/>
        <v>0</v>
      </c>
      <c r="AE26" s="22"/>
      <c r="AF26" s="26">
        <f t="shared" si="11"/>
        <v>0</v>
      </c>
      <c r="AG26" s="27" t="str">
        <f t="shared" si="12"/>
        <v/>
      </c>
      <c r="AH26" s="16"/>
      <c r="AI26" s="25">
        <f t="shared" si="21"/>
        <v>0</v>
      </c>
      <c r="AJ26" s="26">
        <f t="shared" si="13"/>
        <v>0</v>
      </c>
      <c r="AK26" s="27" t="str">
        <f t="shared" si="14"/>
        <v/>
      </c>
      <c r="AL26" s="28"/>
      <c r="AM26" s="16"/>
      <c r="AN26" s="29" t="str">
        <f t="shared" si="15"/>
        <v/>
      </c>
      <c r="AO26" s="25" t="str">
        <f t="shared" si="16"/>
        <v/>
      </c>
      <c r="AP26" s="26" t="str">
        <f t="shared" si="17"/>
        <v/>
      </c>
      <c r="AQ26" s="26" t="str">
        <f t="shared" si="18"/>
        <v/>
      </c>
      <c r="AR26" s="30" t="str">
        <f t="shared" si="19"/>
        <v/>
      </c>
      <c r="AS26" s="30" t="str">
        <f t="shared" si="20"/>
        <v/>
      </c>
    </row>
    <row r="27" spans="1:45" s="1" customFormat="1" ht="22.2" customHeight="1" x14ac:dyDescent="0.3">
      <c r="A27" s="20"/>
      <c r="B27" s="21"/>
      <c r="C27" s="22"/>
      <c r="D27" s="22"/>
      <c r="E27" s="22"/>
      <c r="F27" s="22"/>
      <c r="G27" s="16"/>
      <c r="H27" s="23">
        <f t="shared" si="0"/>
        <v>0</v>
      </c>
      <c r="I27" s="23">
        <f t="shared" si="1"/>
        <v>0</v>
      </c>
      <c r="J27" s="21"/>
      <c r="K27" s="21"/>
      <c r="L27" s="23">
        <f t="shared" si="2"/>
        <v>0</v>
      </c>
      <c r="M27" s="23">
        <f t="shared" si="3"/>
        <v>0</v>
      </c>
      <c r="N27" s="24"/>
      <c r="O27" s="84">
        <f t="shared" si="4"/>
        <v>0.14000000000000001</v>
      </c>
      <c r="P27" s="23">
        <f t="shared" si="5"/>
        <v>0</v>
      </c>
      <c r="Q27" s="23">
        <f t="shared" si="6"/>
        <v>0</v>
      </c>
      <c r="R27" s="86">
        <f t="shared" si="7"/>
        <v>0</v>
      </c>
      <c r="S27" s="32"/>
      <c r="T27" s="32"/>
      <c r="U27" s="96" t="str">
        <f>IFERROR(VLOOKUP(S27,Справка!AF:AG,2,0),"Укажите диапазон объёма")</f>
        <v>Укажите диапазон объёма</v>
      </c>
      <c r="V27" s="64"/>
      <c r="W27" s="66" t="str">
        <f>IFERROR(VLOOKUP($V27,Справка!$Y:$AA,2,0),"")</f>
        <v/>
      </c>
      <c r="X27" s="67" t="str">
        <f>IFERROR(VLOOKUP($V27,Справка!$Y:$AA,3,0),"")</f>
        <v/>
      </c>
      <c r="Y27" s="68" t="str">
        <f t="shared" si="8"/>
        <v/>
      </c>
      <c r="Z27" s="24"/>
      <c r="AA27" s="25">
        <v>25</v>
      </c>
      <c r="AB27" s="26" t="str">
        <f t="shared" si="9"/>
        <v/>
      </c>
      <c r="AC27" s="33"/>
      <c r="AD27" s="25">
        <f t="shared" si="10"/>
        <v>0</v>
      </c>
      <c r="AE27" s="22"/>
      <c r="AF27" s="26">
        <f t="shared" si="11"/>
        <v>0</v>
      </c>
      <c r="AG27" s="27" t="str">
        <f t="shared" si="12"/>
        <v/>
      </c>
      <c r="AH27" s="16"/>
      <c r="AI27" s="25">
        <f t="shared" si="21"/>
        <v>0</v>
      </c>
      <c r="AJ27" s="26">
        <f t="shared" si="13"/>
        <v>0</v>
      </c>
      <c r="AK27" s="27" t="str">
        <f t="shared" si="14"/>
        <v/>
      </c>
      <c r="AL27" s="28"/>
      <c r="AM27" s="16"/>
      <c r="AN27" s="29" t="str">
        <f t="shared" si="15"/>
        <v/>
      </c>
      <c r="AO27" s="25" t="str">
        <f t="shared" si="16"/>
        <v/>
      </c>
      <c r="AP27" s="26" t="str">
        <f t="shared" si="17"/>
        <v/>
      </c>
      <c r="AQ27" s="26" t="str">
        <f t="shared" si="18"/>
        <v/>
      </c>
      <c r="AR27" s="30" t="str">
        <f t="shared" si="19"/>
        <v/>
      </c>
      <c r="AS27" s="30" t="str">
        <f t="shared" si="20"/>
        <v/>
      </c>
    </row>
    <row r="28" spans="1:45" s="1" customFormat="1" ht="22.2" customHeight="1" x14ac:dyDescent="0.3">
      <c r="A28" s="20"/>
      <c r="B28" s="21"/>
      <c r="C28" s="22"/>
      <c r="D28" s="22"/>
      <c r="E28" s="22"/>
      <c r="F28" s="22"/>
      <c r="G28" s="16"/>
      <c r="H28" s="23">
        <f t="shared" si="0"/>
        <v>0</v>
      </c>
      <c r="I28" s="23">
        <f t="shared" si="1"/>
        <v>0</v>
      </c>
      <c r="J28" s="21"/>
      <c r="K28" s="21"/>
      <c r="L28" s="23">
        <f t="shared" si="2"/>
        <v>0</v>
      </c>
      <c r="M28" s="23">
        <f t="shared" si="3"/>
        <v>0</v>
      </c>
      <c r="N28" s="24"/>
      <c r="O28" s="84">
        <f t="shared" si="4"/>
        <v>0.14000000000000001</v>
      </c>
      <c r="P28" s="23">
        <f t="shared" si="5"/>
        <v>0</v>
      </c>
      <c r="Q28" s="23">
        <f t="shared" si="6"/>
        <v>0</v>
      </c>
      <c r="R28" s="86">
        <f t="shared" si="7"/>
        <v>0</v>
      </c>
      <c r="S28" s="32"/>
      <c r="T28" s="32"/>
      <c r="U28" s="96" t="str">
        <f>IFERROR(VLOOKUP(S28,Справка!AF:AG,2,0),"Укажите диапазон объёма")</f>
        <v>Укажите диапазон объёма</v>
      </c>
      <c r="V28" s="64"/>
      <c r="W28" s="66" t="str">
        <f>IFERROR(VLOOKUP($V28,Справка!$Y:$AA,2,0),"")</f>
        <v/>
      </c>
      <c r="X28" s="67" t="str">
        <f>IFERROR(VLOOKUP($V28,Справка!$Y:$AA,3,0),"")</f>
        <v/>
      </c>
      <c r="Y28" s="68" t="str">
        <f t="shared" si="8"/>
        <v/>
      </c>
      <c r="Z28" s="24"/>
      <c r="AA28" s="25">
        <v>25</v>
      </c>
      <c r="AB28" s="26" t="str">
        <f t="shared" si="9"/>
        <v/>
      </c>
      <c r="AC28" s="33"/>
      <c r="AD28" s="25">
        <f t="shared" si="10"/>
        <v>0</v>
      </c>
      <c r="AE28" s="22"/>
      <c r="AF28" s="26">
        <f t="shared" si="11"/>
        <v>0</v>
      </c>
      <c r="AG28" s="27" t="str">
        <f t="shared" si="12"/>
        <v/>
      </c>
      <c r="AH28" s="16"/>
      <c r="AI28" s="25">
        <f t="shared" si="21"/>
        <v>0</v>
      </c>
      <c r="AJ28" s="26">
        <f t="shared" si="13"/>
        <v>0</v>
      </c>
      <c r="AK28" s="27" t="str">
        <f t="shared" si="14"/>
        <v/>
      </c>
      <c r="AL28" s="28"/>
      <c r="AM28" s="16"/>
      <c r="AN28" s="29" t="str">
        <f t="shared" si="15"/>
        <v/>
      </c>
      <c r="AO28" s="25" t="str">
        <f t="shared" si="16"/>
        <v/>
      </c>
      <c r="AP28" s="26" t="str">
        <f t="shared" si="17"/>
        <v/>
      </c>
      <c r="AQ28" s="26" t="str">
        <f t="shared" si="18"/>
        <v/>
      </c>
      <c r="AR28" s="30" t="str">
        <f t="shared" si="19"/>
        <v/>
      </c>
      <c r="AS28" s="30" t="str">
        <f t="shared" si="20"/>
        <v/>
      </c>
    </row>
    <row r="29" spans="1:45" s="1" customFormat="1" ht="22.2" customHeight="1" x14ac:dyDescent="0.3">
      <c r="A29" s="20"/>
      <c r="B29" s="21"/>
      <c r="C29" s="22"/>
      <c r="D29" s="22"/>
      <c r="E29" s="22"/>
      <c r="F29" s="22"/>
      <c r="G29" s="16"/>
      <c r="H29" s="23">
        <f t="shared" si="0"/>
        <v>0</v>
      </c>
      <c r="I29" s="23">
        <f t="shared" si="1"/>
        <v>0</v>
      </c>
      <c r="J29" s="21"/>
      <c r="K29" s="21"/>
      <c r="L29" s="23">
        <f t="shared" si="2"/>
        <v>0</v>
      </c>
      <c r="M29" s="23">
        <f t="shared" si="3"/>
        <v>0</v>
      </c>
      <c r="N29" s="24"/>
      <c r="O29" s="84">
        <f t="shared" si="4"/>
        <v>0.14000000000000001</v>
      </c>
      <c r="P29" s="23">
        <f t="shared" si="5"/>
        <v>0</v>
      </c>
      <c r="Q29" s="23">
        <f t="shared" si="6"/>
        <v>0</v>
      </c>
      <c r="R29" s="86">
        <f t="shared" si="7"/>
        <v>0</v>
      </c>
      <c r="S29" s="32"/>
      <c r="T29" s="32"/>
      <c r="U29" s="96" t="str">
        <f>IFERROR(VLOOKUP(S29,Справка!AF:AG,2,0),"Укажите диапазон объёма")</f>
        <v>Укажите диапазон объёма</v>
      </c>
      <c r="V29" s="64"/>
      <c r="W29" s="66" t="str">
        <f>IFERROR(VLOOKUP($V29,Справка!$Y:$AA,2,0),"")</f>
        <v/>
      </c>
      <c r="X29" s="67" t="str">
        <f>IFERROR(VLOOKUP($V29,Справка!$Y:$AA,3,0),"")</f>
        <v/>
      </c>
      <c r="Y29" s="68" t="str">
        <f t="shared" si="8"/>
        <v/>
      </c>
      <c r="Z29" s="24"/>
      <c r="AA29" s="25">
        <v>25</v>
      </c>
      <c r="AB29" s="26" t="str">
        <f t="shared" si="9"/>
        <v/>
      </c>
      <c r="AC29" s="33"/>
      <c r="AD29" s="25">
        <f t="shared" si="10"/>
        <v>0</v>
      </c>
      <c r="AE29" s="22"/>
      <c r="AF29" s="26">
        <f t="shared" si="11"/>
        <v>0</v>
      </c>
      <c r="AG29" s="27" t="str">
        <f t="shared" si="12"/>
        <v/>
      </c>
      <c r="AH29" s="16"/>
      <c r="AI29" s="25">
        <f t="shared" si="21"/>
        <v>0</v>
      </c>
      <c r="AJ29" s="26">
        <f t="shared" si="13"/>
        <v>0</v>
      </c>
      <c r="AK29" s="27" t="str">
        <f t="shared" si="14"/>
        <v/>
      </c>
      <c r="AL29" s="28"/>
      <c r="AM29" s="16"/>
      <c r="AN29" s="29" t="str">
        <f t="shared" si="15"/>
        <v/>
      </c>
      <c r="AO29" s="25" t="str">
        <f t="shared" si="16"/>
        <v/>
      </c>
      <c r="AP29" s="26" t="str">
        <f t="shared" si="17"/>
        <v/>
      </c>
      <c r="AQ29" s="26" t="str">
        <f t="shared" si="18"/>
        <v/>
      </c>
      <c r="AR29" s="30" t="str">
        <f t="shared" si="19"/>
        <v/>
      </c>
      <c r="AS29" s="30" t="str">
        <f t="shared" si="20"/>
        <v/>
      </c>
    </row>
  </sheetData>
  <mergeCells count="7">
    <mergeCell ref="A2:C3"/>
    <mergeCell ref="A4:C4"/>
    <mergeCell ref="AL4:AN4"/>
    <mergeCell ref="A5:C5"/>
    <mergeCell ref="V5:AB5"/>
    <mergeCell ref="AC5:AD5"/>
    <mergeCell ref="AL5:AN5"/>
  </mergeCells>
  <conditionalFormatting sqref="AR7:AR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{7F243564-E024-4674-A307-5B5BDF9CDAE3}</x14:id>
        </ext>
      </extLst>
    </cfRule>
  </conditionalFormatting>
  <conditionalFormatting sqref="AS7:AS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{A6D9E4C7-0F9F-4B7B-B9F1-EEDEF4E10F8A}</x14:id>
        </ext>
      </extLst>
    </cfRule>
  </conditionalFormatting>
  <hyperlinks>
    <hyperlink ref="AD4" r:id="rId1" xr:uid="{00000000-0004-0000-0200-000002000000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243564-E024-4674-A307-5B5BDF9CDA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AR7:AR28</xm:sqref>
        </x14:conditionalFormatting>
        <x14:conditionalFormatting xmlns:xm="http://schemas.microsoft.com/office/excel/2006/main">
          <x14:cfRule type="dataBar" id="{A6D9E4C7-0F9F-4B7B-B9F1-EEDEF4E10F8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AS7:AS28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Справка!$A$22:$A$23</xm:f>
          </x14:formula1>
          <xm:sqref>T7:T29</xm:sqref>
        </x14:dataValidation>
        <x14:dataValidation type="list" xr:uid="{00000000-0002-0000-0200-000001000000}">
          <x14:formula1>
            <xm:f>Справка!$Y$2:$Y$34</xm:f>
          </x14:formula1>
          <xm:sqref>V7:V29</xm:sqref>
        </x14:dataValidation>
        <x14:dataValidation type="list" xr:uid="{00000000-0002-0000-0200-000002000000}">
          <x14:formula1>
            <xm:f>Справка!$V$1:$V$3</xm:f>
          </x14:formula1>
          <xm:sqref>AL7:AL29</xm:sqref>
        </x14:dataValidation>
        <x14:dataValidation type="list" xr:uid="{00000000-0002-0000-0200-000003000000}">
          <x14:formula1>
            <xm:f>Справка!$AF$5:$AF$44</xm:f>
          </x14:formula1>
          <xm:sqref>S7:S29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"/>
  <sheetViews>
    <sheetView showGridLines="0" workbookViewId="0">
      <selection activeCell="I15" sqref="I15"/>
    </sheetView>
  </sheetViews>
  <sheetFormatPr defaultColWidth="8.88671875" defaultRowHeight="14.4" x14ac:dyDescent="0.3"/>
  <cols>
    <col min="1" max="16384" width="8.88671875" style="14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AH81"/>
  <sheetViews>
    <sheetView showGridLines="0" zoomScale="85" zoomScaleNormal="85" workbookViewId="0">
      <selection activeCell="M15" sqref="M15"/>
    </sheetView>
  </sheetViews>
  <sheetFormatPr defaultColWidth="10" defaultRowHeight="14.4" outlineLevelCol="1" x14ac:dyDescent="0.3"/>
  <cols>
    <col min="1" max="1" width="23" customWidth="1"/>
    <col min="2" max="3" width="11.88671875" customWidth="1"/>
    <col min="9" max="9" width="12.88671875" customWidth="1"/>
    <col min="11" max="11" width="9.6640625" customWidth="1"/>
    <col min="12" max="12" width="10.5546875" customWidth="1"/>
    <col min="13" max="13" width="10.88671875" customWidth="1"/>
    <col min="14" max="14" width="15.6640625" customWidth="1"/>
    <col min="21" max="21" width="12.5546875" customWidth="1"/>
    <col min="22" max="22" width="23.5546875" hidden="1" customWidth="1" outlineLevel="1"/>
    <col min="23" max="23" width="12.5546875" customWidth="1" collapsed="1"/>
    <col min="25" max="26" width="16.6640625" customWidth="1"/>
    <col min="27" max="27" width="22.33203125" customWidth="1"/>
    <col min="31" max="31" width="15.44140625" customWidth="1"/>
    <col min="32" max="32" width="24.6640625" customWidth="1"/>
    <col min="33" max="33" width="24.6640625" style="91" customWidth="1"/>
    <col min="34" max="34" width="14.109375" customWidth="1"/>
  </cols>
  <sheetData>
    <row r="1" spans="1:34" s="37" customFormat="1" ht="50.25" customHeight="1" x14ac:dyDescent="0.55000000000000004">
      <c r="V1" s="69" t="s">
        <v>31</v>
      </c>
      <c r="Y1" s="60" t="s">
        <v>81</v>
      </c>
      <c r="Z1" s="60" t="s">
        <v>82</v>
      </c>
      <c r="AA1" s="60" t="s">
        <v>83</v>
      </c>
      <c r="AF1" s="119" t="s">
        <v>127</v>
      </c>
      <c r="AG1" s="119"/>
    </row>
    <row r="2" spans="1:34" s="37" customFormat="1" ht="16.8" x14ac:dyDescent="0.4">
      <c r="K2" s="37" t="s">
        <v>129</v>
      </c>
      <c r="L2" s="37" t="s">
        <v>130</v>
      </c>
      <c r="M2" s="37" t="s">
        <v>131</v>
      </c>
      <c r="N2" s="37" t="s">
        <v>132</v>
      </c>
      <c r="V2" s="69" t="s">
        <v>32</v>
      </c>
      <c r="Y2" s="58">
        <v>29</v>
      </c>
      <c r="Z2" s="58">
        <v>1</v>
      </c>
      <c r="AA2" s="59">
        <v>0</v>
      </c>
    </row>
    <row r="3" spans="1:34" s="37" customFormat="1" ht="36.75" customHeight="1" x14ac:dyDescent="0.4">
      <c r="K3" s="37" t="str">
        <f t="shared" ref="K3:K12" si="0">L3&amp;M3</f>
        <v>FBO1</v>
      </c>
      <c r="L3" s="37" t="s">
        <v>47</v>
      </c>
      <c r="M3" s="37">
        <v>1</v>
      </c>
      <c r="N3" s="37">
        <v>46.77</v>
      </c>
      <c r="V3" s="69" t="s">
        <v>33</v>
      </c>
      <c r="Y3" s="58">
        <v>30</v>
      </c>
      <c r="Z3" s="58">
        <v>1.05</v>
      </c>
      <c r="AA3" s="59">
        <v>2.5000000000000001E-3</v>
      </c>
    </row>
    <row r="4" spans="1:34" s="37" customFormat="1" ht="22.5" customHeight="1" x14ac:dyDescent="0.4">
      <c r="K4" s="37" t="str">
        <f t="shared" si="0"/>
        <v>FBO2</v>
      </c>
      <c r="L4" s="37" t="s">
        <v>47</v>
      </c>
      <c r="M4" s="37">
        <v>2</v>
      </c>
      <c r="N4" s="37">
        <v>56.94</v>
      </c>
      <c r="Y4" s="58">
        <v>31</v>
      </c>
      <c r="Z4" s="58">
        <v>1.1100000000000001</v>
      </c>
      <c r="AA4" s="59">
        <v>5.4999999999999997E-3</v>
      </c>
      <c r="AF4" s="92" t="s">
        <v>85</v>
      </c>
      <c r="AG4" s="93" t="s">
        <v>86</v>
      </c>
    </row>
    <row r="5" spans="1:34" s="37" customFormat="1" ht="22.5" customHeight="1" x14ac:dyDescent="0.6">
      <c r="A5" s="38"/>
      <c r="K5" s="37" t="str">
        <f t="shared" si="0"/>
        <v>FBO3</v>
      </c>
      <c r="L5" s="37" t="s">
        <v>47</v>
      </c>
      <c r="M5" s="37">
        <v>3</v>
      </c>
      <c r="N5" s="37">
        <v>67.11</v>
      </c>
      <c r="Y5" s="58">
        <v>32</v>
      </c>
      <c r="Z5" s="58">
        <v>1.1599999999999999</v>
      </c>
      <c r="AA5" s="59">
        <v>8.0000000000000002E-3</v>
      </c>
      <c r="AF5" s="88" t="s">
        <v>87</v>
      </c>
      <c r="AG5" s="90">
        <v>17.28</v>
      </c>
      <c r="AH5" s="37">
        <f t="shared" ref="AH5:AH44" si="1">AG5+1</f>
        <v>18.28</v>
      </c>
    </row>
    <row r="6" spans="1:34" s="37" customFormat="1" ht="22.5" customHeight="1" x14ac:dyDescent="0.4">
      <c r="K6" s="37" t="str">
        <f t="shared" si="0"/>
        <v>FBO190</v>
      </c>
      <c r="L6" s="37" t="s">
        <v>47</v>
      </c>
      <c r="M6" s="37">
        <v>190</v>
      </c>
      <c r="N6" s="37">
        <v>2871</v>
      </c>
      <c r="Y6" s="58">
        <v>33</v>
      </c>
      <c r="Z6" s="58">
        <v>1.23</v>
      </c>
      <c r="AA6" s="59">
        <v>1.15E-2</v>
      </c>
      <c r="AF6" s="87" t="s">
        <v>88</v>
      </c>
      <c r="AG6" s="89">
        <v>19.32</v>
      </c>
      <c r="AH6" s="37">
        <f t="shared" si="1"/>
        <v>20.32</v>
      </c>
    </row>
    <row r="7" spans="1:34" s="37" customFormat="1" ht="22.5" customHeight="1" x14ac:dyDescent="0.55000000000000004">
      <c r="A7" s="39"/>
      <c r="K7" s="37" t="str">
        <f t="shared" si="0"/>
        <v>FBS1</v>
      </c>
      <c r="L7" s="37" t="s">
        <v>45</v>
      </c>
      <c r="M7" s="37">
        <v>1</v>
      </c>
      <c r="N7" s="37">
        <v>81.34</v>
      </c>
      <c r="Y7" s="58">
        <v>34</v>
      </c>
      <c r="Z7" s="58">
        <v>1.28</v>
      </c>
      <c r="AA7" s="59">
        <v>1.4E-2</v>
      </c>
      <c r="AF7" s="88" t="s">
        <v>89</v>
      </c>
      <c r="AG7" s="90">
        <v>21.35</v>
      </c>
      <c r="AH7" s="37">
        <f t="shared" si="1"/>
        <v>22.35</v>
      </c>
    </row>
    <row r="8" spans="1:34" s="37" customFormat="1" ht="22.5" customHeight="1" x14ac:dyDescent="0.55000000000000004">
      <c r="A8" s="39"/>
      <c r="B8"/>
      <c r="C8"/>
      <c r="D8"/>
      <c r="E8"/>
      <c r="K8" s="37" t="str">
        <f t="shared" si="0"/>
        <v>FBS2</v>
      </c>
      <c r="L8" s="37" t="s">
        <v>45</v>
      </c>
      <c r="M8" s="37">
        <v>2</v>
      </c>
      <c r="N8" s="37">
        <v>99.64</v>
      </c>
      <c r="Y8" s="58">
        <v>35</v>
      </c>
      <c r="Z8" s="58">
        <v>1.32</v>
      </c>
      <c r="AA8" s="59">
        <v>1.6E-2</v>
      </c>
      <c r="AF8" s="87" t="s">
        <v>90</v>
      </c>
      <c r="AG8" s="89">
        <v>22.37</v>
      </c>
      <c r="AH8" s="37">
        <f t="shared" si="1"/>
        <v>23.37</v>
      </c>
    </row>
    <row r="9" spans="1:34" s="37" customFormat="1" ht="22.5" customHeight="1" x14ac:dyDescent="0.55000000000000004">
      <c r="A9"/>
      <c r="B9"/>
      <c r="C9"/>
      <c r="D9"/>
      <c r="E9"/>
      <c r="I9" s="39"/>
      <c r="K9" s="37" t="str">
        <f t="shared" si="0"/>
        <v>FBS3</v>
      </c>
      <c r="L9" s="37" t="s">
        <v>45</v>
      </c>
      <c r="M9" s="37">
        <v>3</v>
      </c>
      <c r="N9" s="37">
        <v>117.94</v>
      </c>
      <c r="Y9" s="58">
        <v>36</v>
      </c>
      <c r="Z9" s="58">
        <v>1.36</v>
      </c>
      <c r="AA9" s="59">
        <v>1.7999999999999999E-2</v>
      </c>
      <c r="AF9" s="88" t="s">
        <v>91</v>
      </c>
      <c r="AG9" s="90">
        <v>23.38</v>
      </c>
      <c r="AH9" s="37">
        <f t="shared" si="1"/>
        <v>24.38</v>
      </c>
    </row>
    <row r="10" spans="1:34" s="37" customFormat="1" ht="22.5" customHeight="1" x14ac:dyDescent="0.55000000000000004">
      <c r="A10" s="120"/>
      <c r="B10" s="120"/>
      <c r="C10"/>
      <c r="D10"/>
      <c r="E10"/>
      <c r="I10" s="39"/>
      <c r="K10" s="37" t="str">
        <f t="shared" si="0"/>
        <v>FBS190</v>
      </c>
      <c r="L10" s="37" t="s">
        <v>45</v>
      </c>
      <c r="M10" s="37">
        <v>190</v>
      </c>
      <c r="N10" s="37">
        <v>4417</v>
      </c>
      <c r="Y10" s="58">
        <v>37</v>
      </c>
      <c r="Z10" s="58">
        <v>1.4</v>
      </c>
      <c r="AA10" s="59">
        <v>0.02</v>
      </c>
      <c r="AF10" s="87" t="s">
        <v>92</v>
      </c>
      <c r="AG10" s="89">
        <v>25.42</v>
      </c>
      <c r="AH10" s="37">
        <f t="shared" si="1"/>
        <v>26.42</v>
      </c>
    </row>
    <row r="11" spans="1:34" s="37" customFormat="1" ht="22.5" customHeight="1" x14ac:dyDescent="0.4">
      <c r="A11" s="120"/>
      <c r="B11" s="120"/>
      <c r="C11"/>
      <c r="D11"/>
      <c r="E11"/>
      <c r="K11" s="37" t="str">
        <f t="shared" si="0"/>
        <v>FBO1000</v>
      </c>
      <c r="L11" s="37" t="s">
        <v>47</v>
      </c>
      <c r="M11" s="37">
        <v>1000</v>
      </c>
      <c r="N11" s="37">
        <v>9432.8700000000008</v>
      </c>
      <c r="Y11" s="58">
        <v>38</v>
      </c>
      <c r="Z11" s="58">
        <v>1.44</v>
      </c>
      <c r="AA11" s="59">
        <v>2.1999999999999999E-2</v>
      </c>
      <c r="AF11" s="88" t="s">
        <v>93</v>
      </c>
      <c r="AG11" s="90">
        <v>26.43</v>
      </c>
      <c r="AH11" s="37">
        <f t="shared" si="1"/>
        <v>27.43</v>
      </c>
    </row>
    <row r="12" spans="1:34" s="37" customFormat="1" ht="22.5" customHeight="1" x14ac:dyDescent="0.4">
      <c r="A12" s="120"/>
      <c r="B12" s="120"/>
      <c r="C12"/>
      <c r="D12"/>
      <c r="E12"/>
      <c r="K12" s="37" t="str">
        <f t="shared" si="0"/>
        <v>FBS1000</v>
      </c>
      <c r="L12" s="37" t="s">
        <v>45</v>
      </c>
      <c r="M12" s="37">
        <v>1000</v>
      </c>
      <c r="Y12" s="58">
        <v>39</v>
      </c>
      <c r="Z12" s="58">
        <v>1.48</v>
      </c>
      <c r="AA12" s="59">
        <v>2.4E-2</v>
      </c>
      <c r="AF12" s="87" t="s">
        <v>94</v>
      </c>
      <c r="AG12" s="89">
        <v>27.45</v>
      </c>
      <c r="AH12" s="37">
        <f t="shared" si="1"/>
        <v>28.45</v>
      </c>
    </row>
    <row r="13" spans="1:34" s="37" customFormat="1" ht="22.5" customHeight="1" x14ac:dyDescent="0.4">
      <c r="C13"/>
      <c r="D13"/>
      <c r="E13"/>
      <c r="Y13" s="58">
        <v>40</v>
      </c>
      <c r="Z13" s="58">
        <v>1.51</v>
      </c>
      <c r="AA13" s="59">
        <v>2.5499999999999998E-2</v>
      </c>
      <c r="AF13" s="88" t="s">
        <v>95</v>
      </c>
      <c r="AG13" s="90">
        <v>29.48</v>
      </c>
      <c r="AH13" s="37">
        <f t="shared" si="1"/>
        <v>30.48</v>
      </c>
    </row>
    <row r="14" spans="1:34" s="37" customFormat="1" ht="22.5" customHeight="1" x14ac:dyDescent="0.6">
      <c r="A14" s="70"/>
      <c r="C14"/>
      <c r="D14"/>
      <c r="E14"/>
      <c r="Y14" s="58">
        <v>41</v>
      </c>
      <c r="Z14" s="58">
        <v>1.54</v>
      </c>
      <c r="AA14" s="59">
        <v>2.7E-2</v>
      </c>
      <c r="AF14" s="87" t="s">
        <v>96</v>
      </c>
      <c r="AG14" s="89">
        <v>31.52</v>
      </c>
      <c r="AH14" s="37">
        <f t="shared" si="1"/>
        <v>32.519999999999996</v>
      </c>
    </row>
    <row r="15" spans="1:34" s="37" customFormat="1" ht="22.5" customHeight="1" x14ac:dyDescent="0.4">
      <c r="A15"/>
      <c r="B15"/>
      <c r="C15"/>
      <c r="D15"/>
      <c r="E15"/>
      <c r="Y15" s="58">
        <v>42</v>
      </c>
      <c r="Z15" s="58">
        <v>1.57</v>
      </c>
      <c r="AA15" s="59">
        <v>2.8500000000000001E-2</v>
      </c>
      <c r="AF15" s="88" t="s">
        <v>97</v>
      </c>
      <c r="AG15" s="90">
        <v>35.58</v>
      </c>
      <c r="AH15" s="37">
        <f t="shared" si="1"/>
        <v>36.58</v>
      </c>
    </row>
    <row r="16" spans="1:34" s="37" customFormat="1" ht="16.8" x14ac:dyDescent="0.4">
      <c r="A16"/>
      <c r="B16"/>
      <c r="C16"/>
      <c r="D16"/>
      <c r="E16"/>
      <c r="Y16" s="58">
        <v>43</v>
      </c>
      <c r="Z16" s="58">
        <v>1.6</v>
      </c>
      <c r="AA16" s="59">
        <v>0.03</v>
      </c>
      <c r="AF16" s="87" t="s">
        <v>98</v>
      </c>
      <c r="AG16" s="89">
        <v>38.630000000000003</v>
      </c>
      <c r="AH16" s="37">
        <f t="shared" si="1"/>
        <v>39.630000000000003</v>
      </c>
    </row>
    <row r="17" spans="1:34" s="37" customFormat="1" ht="16.8" x14ac:dyDescent="0.4">
      <c r="A17"/>
      <c r="B17"/>
      <c r="C17"/>
      <c r="D17"/>
      <c r="E17"/>
      <c r="Y17" s="58">
        <v>44</v>
      </c>
      <c r="Z17" s="58">
        <v>1.63</v>
      </c>
      <c r="AA17" s="59">
        <v>3.15E-2</v>
      </c>
      <c r="AF17" s="88" t="s">
        <v>99</v>
      </c>
      <c r="AG17" s="90">
        <v>42.7</v>
      </c>
      <c r="AH17" s="37">
        <f t="shared" si="1"/>
        <v>43.7</v>
      </c>
    </row>
    <row r="18" spans="1:34" s="37" customFormat="1" ht="16.8" x14ac:dyDescent="0.4">
      <c r="A18"/>
      <c r="B18"/>
      <c r="C18"/>
      <c r="D18"/>
      <c r="E18"/>
      <c r="Y18" s="58">
        <v>45</v>
      </c>
      <c r="Z18" s="58">
        <v>1.66</v>
      </c>
      <c r="AA18" s="59">
        <v>3.3000000000000002E-2</v>
      </c>
      <c r="AF18" s="87" t="s">
        <v>100</v>
      </c>
      <c r="AG18" s="89">
        <v>57.95</v>
      </c>
      <c r="AH18" s="37">
        <f t="shared" si="1"/>
        <v>58.95</v>
      </c>
    </row>
    <row r="19" spans="1:34" s="37" customFormat="1" ht="3.75" customHeight="1" x14ac:dyDescent="0.4">
      <c r="Y19" s="58">
        <v>46</v>
      </c>
      <c r="Z19" s="58">
        <v>1.69</v>
      </c>
      <c r="AA19" s="59">
        <v>3.4500000000000003E-2</v>
      </c>
      <c r="AF19" s="88" t="s">
        <v>101</v>
      </c>
      <c r="AG19" s="90">
        <v>62.02</v>
      </c>
      <c r="AH19" s="37">
        <f t="shared" si="1"/>
        <v>63.02</v>
      </c>
    </row>
    <row r="20" spans="1:34" s="37" customFormat="1" ht="44.25" customHeight="1" x14ac:dyDescent="0.9">
      <c r="A20" s="36" t="s">
        <v>46</v>
      </c>
      <c r="B20" s="40"/>
      <c r="Y20" s="58">
        <v>47</v>
      </c>
      <c r="Z20" s="58">
        <v>1.71</v>
      </c>
      <c r="AA20" s="59">
        <v>3.5499999999999997E-2</v>
      </c>
      <c r="AF20" s="87" t="s">
        <v>102</v>
      </c>
      <c r="AG20" s="89">
        <v>65.069999999999993</v>
      </c>
      <c r="AH20" s="37">
        <f t="shared" si="1"/>
        <v>66.069999999999993</v>
      </c>
    </row>
    <row r="21" spans="1:34" ht="16.8" x14ac:dyDescent="0.4">
      <c r="A21" s="37"/>
      <c r="B21" s="40"/>
      <c r="K21" s="37"/>
      <c r="L21" s="37"/>
      <c r="M21" s="37"/>
      <c r="N21" s="37"/>
      <c r="Y21" s="58">
        <v>48</v>
      </c>
      <c r="Z21" s="58">
        <v>1.73</v>
      </c>
      <c r="AA21" s="59">
        <v>3.6499999999999998E-2</v>
      </c>
      <c r="AF21" s="88" t="s">
        <v>103</v>
      </c>
      <c r="AG21" s="90">
        <v>69.13</v>
      </c>
      <c r="AH21" s="37">
        <f t="shared" si="1"/>
        <v>70.13</v>
      </c>
    </row>
    <row r="22" spans="1:34" ht="16.8" x14ac:dyDescent="0.4">
      <c r="A22" s="13" t="s">
        <v>47</v>
      </c>
      <c r="B22" s="41"/>
      <c r="K22" s="37"/>
      <c r="L22" s="37"/>
      <c r="M22" s="37"/>
      <c r="N22" s="37"/>
      <c r="Y22" s="58">
        <v>49</v>
      </c>
      <c r="Z22" s="58">
        <v>1.75</v>
      </c>
      <c r="AA22" s="59">
        <v>3.7499999999999999E-2</v>
      </c>
      <c r="AF22" s="87" t="s">
        <v>104</v>
      </c>
      <c r="AG22" s="89">
        <v>79.3</v>
      </c>
      <c r="AH22" s="37">
        <f t="shared" si="1"/>
        <v>80.3</v>
      </c>
    </row>
    <row r="23" spans="1:34" ht="16.8" x14ac:dyDescent="0.4">
      <c r="A23" s="13" t="s">
        <v>45</v>
      </c>
      <c r="B23" s="41"/>
      <c r="Y23" s="58">
        <v>50</v>
      </c>
      <c r="Z23" s="58">
        <v>1.76</v>
      </c>
      <c r="AA23" s="59">
        <v>3.7999999999999999E-2</v>
      </c>
      <c r="AF23" s="88" t="s">
        <v>105</v>
      </c>
      <c r="AG23" s="90">
        <v>83.37</v>
      </c>
      <c r="AH23" s="37">
        <f t="shared" si="1"/>
        <v>84.37</v>
      </c>
    </row>
    <row r="24" spans="1:34" ht="16.8" x14ac:dyDescent="0.4">
      <c r="B24" s="41"/>
      <c r="Y24" s="58">
        <v>51</v>
      </c>
      <c r="Z24" s="58">
        <v>1.77</v>
      </c>
      <c r="AA24" s="59">
        <v>3.85E-2</v>
      </c>
      <c r="AF24" s="87" t="s">
        <v>106</v>
      </c>
      <c r="AG24" s="89">
        <v>87.43</v>
      </c>
      <c r="AH24" s="37">
        <f t="shared" si="1"/>
        <v>88.43</v>
      </c>
    </row>
    <row r="25" spans="1:34" ht="16.8" x14ac:dyDescent="0.4">
      <c r="Y25" s="58">
        <v>52</v>
      </c>
      <c r="Z25" s="58">
        <v>1.774</v>
      </c>
      <c r="AA25" s="59">
        <v>3.8699999999999998E-2</v>
      </c>
      <c r="AF25" s="88" t="s">
        <v>107</v>
      </c>
      <c r="AG25" s="90">
        <v>92.52</v>
      </c>
      <c r="AH25" s="37">
        <f t="shared" si="1"/>
        <v>93.52</v>
      </c>
    </row>
    <row r="26" spans="1:34" ht="16.8" x14ac:dyDescent="0.4">
      <c r="Y26" s="58">
        <v>53</v>
      </c>
      <c r="Z26" s="58">
        <v>1.78</v>
      </c>
      <c r="AA26" s="59">
        <v>3.9E-2</v>
      </c>
      <c r="AF26" s="87" t="s">
        <v>108</v>
      </c>
      <c r="AG26" s="89">
        <v>96.58</v>
      </c>
      <c r="AH26" s="37">
        <f t="shared" si="1"/>
        <v>97.58</v>
      </c>
    </row>
    <row r="27" spans="1:34" ht="16.8" x14ac:dyDescent="0.4">
      <c r="Y27" s="58">
        <v>54</v>
      </c>
      <c r="Z27" s="58">
        <v>1.784</v>
      </c>
      <c r="AA27" s="59">
        <v>3.9199999999999999E-2</v>
      </c>
      <c r="AF27" s="88" t="s">
        <v>109</v>
      </c>
      <c r="AG27" s="90">
        <v>101.67</v>
      </c>
      <c r="AH27" s="37">
        <f t="shared" si="1"/>
        <v>102.67</v>
      </c>
    </row>
    <row r="28" spans="1:34" ht="16.8" x14ac:dyDescent="0.4">
      <c r="Y28" s="58">
        <v>55</v>
      </c>
      <c r="Z28" s="58">
        <v>1.788</v>
      </c>
      <c r="AA28" s="59">
        <v>3.9399999999999998E-2</v>
      </c>
      <c r="AF28" s="87" t="s">
        <v>110</v>
      </c>
      <c r="AG28" s="89">
        <v>110.82</v>
      </c>
      <c r="AH28" s="37">
        <f t="shared" si="1"/>
        <v>111.82</v>
      </c>
    </row>
    <row r="29" spans="1:34" ht="16.8" x14ac:dyDescent="0.4">
      <c r="Y29" s="58">
        <v>56</v>
      </c>
      <c r="Z29" s="58">
        <v>1.79</v>
      </c>
      <c r="AA29" s="59">
        <v>3.95E-2</v>
      </c>
      <c r="AF29" s="88" t="s">
        <v>111</v>
      </c>
      <c r="AG29" s="90">
        <v>118.95</v>
      </c>
      <c r="AH29" s="37">
        <f t="shared" si="1"/>
        <v>119.95</v>
      </c>
    </row>
    <row r="30" spans="1:34" ht="16.8" x14ac:dyDescent="0.4">
      <c r="Y30" s="58">
        <v>57</v>
      </c>
      <c r="Z30" s="58">
        <v>1.792</v>
      </c>
      <c r="AA30" s="59">
        <v>3.9600000000000003E-2</v>
      </c>
      <c r="AF30" s="87" t="s">
        <v>112</v>
      </c>
      <c r="AG30" s="89">
        <v>131.15</v>
      </c>
      <c r="AH30" s="37">
        <f t="shared" si="1"/>
        <v>132.15</v>
      </c>
    </row>
    <row r="31" spans="1:34" ht="16.8" x14ac:dyDescent="0.4">
      <c r="Y31" s="58">
        <v>58</v>
      </c>
      <c r="Z31" s="58">
        <v>1.794</v>
      </c>
      <c r="AA31" s="59">
        <v>3.9699999999999999E-2</v>
      </c>
      <c r="AF31" s="88" t="s">
        <v>113</v>
      </c>
      <c r="AG31" s="90">
        <v>146.4</v>
      </c>
      <c r="AH31" s="37">
        <f t="shared" si="1"/>
        <v>147.4</v>
      </c>
    </row>
    <row r="32" spans="1:34" ht="16.8" x14ac:dyDescent="0.4">
      <c r="Y32" s="58">
        <v>59</v>
      </c>
      <c r="Z32" s="58">
        <v>1.796</v>
      </c>
      <c r="AA32" s="59">
        <v>3.9800000000000002E-2</v>
      </c>
      <c r="AF32" s="87" t="s">
        <v>114</v>
      </c>
      <c r="AG32" s="89">
        <v>156.57</v>
      </c>
      <c r="AH32" s="37">
        <f t="shared" si="1"/>
        <v>157.57</v>
      </c>
    </row>
    <row r="33" spans="25:34" ht="16.8" x14ac:dyDescent="0.4">
      <c r="Y33" s="58">
        <v>60</v>
      </c>
      <c r="Z33" s="58">
        <v>1.798</v>
      </c>
      <c r="AA33" s="59">
        <v>3.9899999999999998E-2</v>
      </c>
      <c r="AF33" s="88" t="s">
        <v>115</v>
      </c>
      <c r="AG33" s="90">
        <v>175.88</v>
      </c>
      <c r="AH33" s="37">
        <f t="shared" si="1"/>
        <v>176.88</v>
      </c>
    </row>
    <row r="34" spans="25:34" ht="16.8" x14ac:dyDescent="0.4">
      <c r="Y34" s="58">
        <v>61</v>
      </c>
      <c r="Z34" s="58">
        <v>1.8</v>
      </c>
      <c r="AA34" s="59">
        <v>0.04</v>
      </c>
      <c r="AF34" s="87" t="s">
        <v>116</v>
      </c>
      <c r="AG34" s="89">
        <v>189.1</v>
      </c>
      <c r="AH34" s="37">
        <f t="shared" si="1"/>
        <v>190.1</v>
      </c>
    </row>
    <row r="35" spans="25:34" ht="16.8" x14ac:dyDescent="0.4">
      <c r="AF35" s="88" t="s">
        <v>117</v>
      </c>
      <c r="AG35" s="90">
        <v>207.4</v>
      </c>
      <c r="AH35" s="37">
        <f t="shared" si="1"/>
        <v>208.4</v>
      </c>
    </row>
    <row r="36" spans="25:34" ht="16.8" x14ac:dyDescent="0.4">
      <c r="AF36" s="87" t="s">
        <v>118</v>
      </c>
      <c r="AG36" s="89">
        <v>230.78</v>
      </c>
      <c r="AH36" s="37">
        <f t="shared" si="1"/>
        <v>231.78</v>
      </c>
    </row>
    <row r="37" spans="25:34" ht="16.8" x14ac:dyDescent="0.4">
      <c r="AF37" s="88" t="s">
        <v>119</v>
      </c>
      <c r="AG37" s="90">
        <v>249.08</v>
      </c>
      <c r="AH37" s="37">
        <f t="shared" si="1"/>
        <v>250.08</v>
      </c>
    </row>
    <row r="38" spans="25:34" ht="16.8" x14ac:dyDescent="0.4">
      <c r="AF38" s="87" t="s">
        <v>120</v>
      </c>
      <c r="AG38" s="89">
        <v>274.5</v>
      </c>
      <c r="AH38" s="37">
        <f t="shared" si="1"/>
        <v>275.5</v>
      </c>
    </row>
    <row r="39" spans="25:34" ht="16.8" x14ac:dyDescent="0.4">
      <c r="AF39" s="88" t="s">
        <v>121</v>
      </c>
      <c r="AG39" s="90">
        <v>284.67</v>
      </c>
      <c r="AH39" s="37">
        <f t="shared" si="1"/>
        <v>285.67</v>
      </c>
    </row>
    <row r="40" spans="25:34" ht="16.8" x14ac:dyDescent="0.4">
      <c r="AF40" s="87" t="s">
        <v>122</v>
      </c>
      <c r="AG40" s="89">
        <v>331.43</v>
      </c>
      <c r="AH40" s="37">
        <f t="shared" si="1"/>
        <v>332.43</v>
      </c>
    </row>
    <row r="41" spans="25:34" ht="16.8" x14ac:dyDescent="0.4">
      <c r="AF41" s="88" t="s">
        <v>123</v>
      </c>
      <c r="AG41" s="90">
        <v>381.25</v>
      </c>
      <c r="AH41" s="37">
        <f t="shared" si="1"/>
        <v>382.25</v>
      </c>
    </row>
    <row r="42" spans="25:34" ht="16.8" x14ac:dyDescent="0.4">
      <c r="AF42" s="87" t="s">
        <v>124</v>
      </c>
      <c r="AG42" s="89">
        <v>436.15</v>
      </c>
      <c r="AH42" s="37">
        <f t="shared" si="1"/>
        <v>437.15</v>
      </c>
    </row>
    <row r="43" spans="25:34" ht="16.8" x14ac:dyDescent="0.4">
      <c r="AF43" s="88" t="s">
        <v>125</v>
      </c>
      <c r="AG43" s="90">
        <v>483.93</v>
      </c>
      <c r="AH43" s="37">
        <f t="shared" si="1"/>
        <v>484.93</v>
      </c>
    </row>
    <row r="44" spans="25:34" ht="16.8" x14ac:dyDescent="0.4">
      <c r="AF44" s="87" t="s">
        <v>126</v>
      </c>
      <c r="AG44" s="89">
        <v>805.2</v>
      </c>
      <c r="AH44" s="37">
        <f t="shared" si="1"/>
        <v>806.2</v>
      </c>
    </row>
    <row r="49" spans="1:3" ht="15" customHeight="1" x14ac:dyDescent="0.3">
      <c r="A49" s="121"/>
      <c r="B49" s="121"/>
      <c r="C49" s="42"/>
    </row>
    <row r="50" spans="1:3" x14ac:dyDescent="0.3">
      <c r="A50" s="43" t="s">
        <v>50</v>
      </c>
      <c r="B50" s="43" t="s">
        <v>51</v>
      </c>
      <c r="C50" s="43"/>
    </row>
    <row r="51" spans="1:3" x14ac:dyDescent="0.3">
      <c r="A51" s="44">
        <v>250</v>
      </c>
      <c r="B51" s="44">
        <v>500</v>
      </c>
      <c r="C51" s="44"/>
    </row>
    <row r="52" spans="1:3" x14ac:dyDescent="0.3">
      <c r="A52" s="44">
        <v>325</v>
      </c>
      <c r="B52" s="44">
        <v>725</v>
      </c>
      <c r="C52" s="44"/>
    </row>
    <row r="81" ht="27" customHeight="1" x14ac:dyDescent="0.3"/>
  </sheetData>
  <sheetProtection formatCells="0" formatColumns="0" formatRows="0" insertColumns="0" insertRows="0" insertHyperlinks="0" deleteColumns="0" deleteRows="0" sort="0" autoFilter="0" pivotTables="0"/>
  <mergeCells count="3">
    <mergeCell ref="AF1:AG1"/>
    <mergeCell ref="A10:B12"/>
    <mergeCell ref="A49:B49"/>
  </mergeCells>
  <phoneticPr fontId="3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unk5:DataMashup xmlns:unk5="http://schemas.microsoft.com/DataMashup">AAAAAAsDAABQSwMEFAACAAgAuWIrW2GQ1hmkAAAA9gAAABIAHABDb25maWcvUGFja2FnZS54bWwgohgAKKAUAAAAAAAAAAAAAAAAAAAAAAAAAAAAhY9LDoIwAESvQrqnHzRKSCkLt5IYjcZtUys0QjH9WO7mwiN5BTGKunM5b95i5n690aJvm+gijVWdzgGBGERSi+6gdJUD745xCgpGV1yceCWjQdY26+0hB7Vz5wyhEAIME9iZCiUYE7QvlxtRy5aDj6z+y7HS1nEtJGB09xrDEkimM0jmKcQUjZCWSn+FZNj7bH8gXfjGeSOZ8fF6S9EYKXp/YA9QSwMEFAACAAgAuWIrW1NyOCybAAAA4QAAABMAHABbQ29udGVudF9UeXBlc10ueG1sIKIYACigFAAAAAAAAAAAAAAAAAAAAAAAAAAAAG2OPQ7CMAxGrxJ5b10YEEJNGYAbcIEouD+icaLGReVsDByJK5C2a0d/fs+ff59veZ5cr140xM6zhl1egCK2/tFxo2GUOjvCuSrv70BRJZSjhlYknBCjbcmZmPtAnDa1H5yRNA4NBmOfpiHcF8UBrWchlkzmG1CVV6rN2Iu6TSlea5MO6rJyc5UGoUlwiXHTcFt86E3Hi4HLw9UfUEsDBBQAAgAIALliK1soike4DgAAABEAAAATABwARm9ybXVsYXMvU2VjdGlvbjEubSCiGAAooBQAAAAAAAAAAAAAAAAAAAAAAAAAAAArTk0uyczPUwiG0IbWAFBLAQItABQAAgAIALliK1thkNYZpAAAAPYAAAASAAAAAAAAAAAAAAAAAAAAAABDb25maWcvUGFja2FnZS54bWxQSwECLQAUAAIACAC5YitbU3I4LJsAAADhAAAAEwAAAAAAAAAAAAAAAADwAAAAW0NvbnRlbnRfVHlwZXNdLnhtbFBLAQItABQAAgAIALliK1soike4DgAAABEAAAATAAAAAAAAAAAAAAAAANgBAABGb3JtdWxhcy9TZWN0aW9uMS5tUEsFBgAAAAADAAMAwgAAADMC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DRy4wrSIU/S5dAMA2i430rAAAAAAIAAAAAABBmAAAAAQAAIAAAAAkmP20qTb5cDo/SPY6rtjevmaIM2dyqoIidmFwSP2+MAAAAAA6AAAAAAgAAIAAAAFi+AR8Og4zcnMZg/6vbrRO9tpLKu3KE8EQep2BLeAC7UAAAAEpag2zDNUW17gSkmUrbgquq/MQVL4mD4DqpHvy8thf82YpOw+Lza5dfTHWUNMnI2pXMRk/MdYDohpfkPVtCX2ospApMpVlctzAqWMZ+fRMAQAAAAL7jzOUHZR6z8bHA/3Gs3MaTCpc4/D8kEyLsnsmj+2AiFvOgfAP0b76J61kQvRM190/xPS3WfYryKlF8MvymHbk=</unk5:DataMashup>
</file>

<file path=customXml/itemProps1.xml><?xml version="1.0" encoding="utf-8"?>
<ds:datastoreItem xmlns:ds="http://schemas.openxmlformats.org/officeDocument/2006/customXml" ds:itemID="{61AC1468-6773-4689-A903-3495757E95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Нормативное время доставки</vt:lpstr>
      <vt:lpstr>Юнит-экономика ОСНОВНАЯ</vt:lpstr>
      <vt:lpstr>Юнит-экономика НЕДОРОГИЕ ТОВАРЫ</vt:lpstr>
      <vt:lpstr>примерный выкуп по категориям</vt:lpstr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Atrion Group</dc:creator>
  <cp:lastModifiedBy>Никита Князев</cp:lastModifiedBy>
  <dcterms:created xsi:type="dcterms:W3CDTF">2023-12-07T12:33:19Z</dcterms:created>
  <dcterms:modified xsi:type="dcterms:W3CDTF">2026-07-19T11:49:11Z</dcterms:modified>
</cp:coreProperties>
</file>